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5" codeName="{82680DD9-3F13-7979-5B5F-3D2375947C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Codex\2026-08-05\xnj\outputs\"/>
    </mc:Choice>
  </mc:AlternateContent>
  <xr:revisionPtr revIDLastSave="0" documentId="13_ncr:1_{DAAEDAF5-EB92-4EAF-9346-14E20076F9C9}" xr6:coauthVersionLast="47" xr6:coauthVersionMax="47" xr10:uidLastSave="{00000000-0000-0000-0000-000000000000}"/>
  <workbookProtection workbookAlgorithmName="SHA-512" workbookHashValue="tE68Kv52mpZC407ec5fewqVthFGPh+pN8Hag7EBEk97jzqSCUCWJa6hYbiEcJG3kLvOwyJZpyItxr1+RMoQvdg==" workbookSaltValue="aQ9pnw4J/D3XEa2EDMrwfw==" workbookSpinCount="100000" lockStructure="1"/>
  <bookViews>
    <workbookView xWindow="28680" yWindow="-120" windowWidth="29040" windowHeight="15720" tabRatio="793" xr2:uid="{00000000-000D-0000-FFFF-FFFF00000000}"/>
  </bookViews>
  <sheets>
    <sheet name="Инструкция" sheetId="14" r:id="rId1"/>
    <sheet name="Бартерные ресурсы" sheetId="9" r:id="rId2"/>
    <sheet name="Поиск" sheetId="10" r:id="rId3"/>
    <sheet name="Активный бартер" sheetId="13" r:id="rId4"/>
    <sheet name="Бартер оружие" sheetId="5" r:id="rId5"/>
    <sheet name="Бартер броня" sheetId="6" r:id="rId6"/>
    <sheet name="Бартер контейнеры и сумки" sheetId="8" r:id="rId7"/>
    <sheet name="Бартер обвесы" sheetId="7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62" i="10" l="1"/>
  <c r="Q362" i="10"/>
  <c r="P362" i="10"/>
  <c r="O362" i="10"/>
  <c r="N362" i="10"/>
  <c r="M362" i="10"/>
  <c r="L362" i="10"/>
  <c r="U361" i="10"/>
  <c r="Q361" i="10"/>
  <c r="P361" i="10"/>
  <c r="O361" i="10"/>
  <c r="N361" i="10"/>
  <c r="M361" i="10"/>
  <c r="L361" i="10"/>
  <c r="U360" i="10"/>
  <c r="Q360" i="10"/>
  <c r="P360" i="10"/>
  <c r="O360" i="10"/>
  <c r="N360" i="10"/>
  <c r="M360" i="10"/>
  <c r="L360" i="10"/>
  <c r="U359" i="10"/>
  <c r="Q359" i="10"/>
  <c r="P359" i="10"/>
  <c r="O359" i="10"/>
  <c r="N359" i="10"/>
  <c r="M359" i="10"/>
  <c r="L359" i="10"/>
  <c r="U358" i="10"/>
  <c r="Q358" i="10"/>
  <c r="P358" i="10"/>
  <c r="O358" i="10"/>
  <c r="N358" i="10"/>
  <c r="M358" i="10"/>
  <c r="L358" i="10"/>
  <c r="U357" i="10"/>
  <c r="Q357" i="10"/>
  <c r="P357" i="10"/>
  <c r="O357" i="10"/>
  <c r="N357" i="10"/>
  <c r="M357" i="10"/>
  <c r="L357" i="10"/>
  <c r="U356" i="10"/>
  <c r="Q356" i="10"/>
  <c r="P356" i="10"/>
  <c r="O356" i="10"/>
  <c r="N356" i="10"/>
  <c r="M356" i="10"/>
  <c r="L356" i="10"/>
  <c r="U355" i="10"/>
  <c r="Q355" i="10"/>
  <c r="P355" i="10"/>
  <c r="O355" i="10"/>
  <c r="N355" i="10"/>
  <c r="M355" i="10"/>
  <c r="L355" i="10"/>
  <c r="U354" i="10"/>
  <c r="Q354" i="10"/>
  <c r="P354" i="10"/>
  <c r="O354" i="10"/>
  <c r="N354" i="10"/>
  <c r="M354" i="10"/>
  <c r="L354" i="10"/>
  <c r="U353" i="10"/>
  <c r="Q353" i="10"/>
  <c r="P353" i="10"/>
  <c r="O353" i="10"/>
  <c r="N353" i="10"/>
  <c r="M353" i="10"/>
  <c r="L353" i="10"/>
  <c r="U352" i="10"/>
  <c r="Q352" i="10"/>
  <c r="P352" i="10"/>
  <c r="O352" i="10"/>
  <c r="N352" i="10"/>
  <c r="M352" i="10"/>
  <c r="L352" i="10"/>
  <c r="U351" i="10"/>
  <c r="Q351" i="10"/>
  <c r="P351" i="10"/>
  <c r="O351" i="10"/>
  <c r="N351" i="10"/>
  <c r="M351" i="10"/>
  <c r="L351" i="10"/>
  <c r="U350" i="10"/>
  <c r="Q350" i="10"/>
  <c r="P350" i="10"/>
  <c r="O350" i="10"/>
  <c r="N350" i="10"/>
  <c r="M350" i="10"/>
  <c r="L350" i="10"/>
  <c r="U349" i="10"/>
  <c r="Q349" i="10"/>
  <c r="P349" i="10"/>
  <c r="O349" i="10"/>
  <c r="N349" i="10"/>
  <c r="M349" i="10"/>
  <c r="L349" i="10"/>
  <c r="U348" i="10"/>
  <c r="Q348" i="10"/>
  <c r="P348" i="10"/>
  <c r="O348" i="10"/>
  <c r="N348" i="10"/>
  <c r="M348" i="10"/>
  <c r="L348" i="10"/>
  <c r="U347" i="10"/>
  <c r="Q347" i="10"/>
  <c r="P347" i="10"/>
  <c r="O347" i="10"/>
  <c r="N347" i="10"/>
  <c r="M347" i="10"/>
  <c r="L347" i="10"/>
  <c r="U346" i="10"/>
  <c r="Q346" i="10"/>
  <c r="P346" i="10"/>
  <c r="O346" i="10"/>
  <c r="N346" i="10"/>
  <c r="M346" i="10"/>
  <c r="L346" i="10"/>
  <c r="U345" i="10"/>
  <c r="Q345" i="10"/>
  <c r="P345" i="10"/>
  <c r="O345" i="10"/>
  <c r="N345" i="10"/>
  <c r="M345" i="10"/>
  <c r="L345" i="10"/>
  <c r="U344" i="10"/>
  <c r="Q344" i="10"/>
  <c r="P344" i="10"/>
  <c r="O344" i="10"/>
  <c r="N344" i="10"/>
  <c r="M344" i="10"/>
  <c r="L344" i="10"/>
  <c r="U343" i="10"/>
  <c r="Q343" i="10"/>
  <c r="P343" i="10"/>
  <c r="O343" i="10"/>
  <c r="N343" i="10"/>
  <c r="M343" i="10"/>
  <c r="L343" i="10"/>
  <c r="U342" i="10"/>
  <c r="Q342" i="10"/>
  <c r="P342" i="10"/>
  <c r="O342" i="10"/>
  <c r="N342" i="10"/>
  <c r="M342" i="10"/>
  <c r="L342" i="10"/>
  <c r="U341" i="10"/>
  <c r="Q341" i="10"/>
  <c r="P341" i="10"/>
  <c r="O341" i="10"/>
  <c r="N341" i="10"/>
  <c r="M341" i="10"/>
  <c r="L341" i="10"/>
  <c r="U340" i="10"/>
  <c r="Q340" i="10"/>
  <c r="P340" i="10"/>
  <c r="O340" i="10"/>
  <c r="N340" i="10"/>
  <c r="M340" i="10"/>
  <c r="L340" i="10"/>
  <c r="U339" i="10"/>
  <c r="Q339" i="10"/>
  <c r="P339" i="10"/>
  <c r="O339" i="10"/>
  <c r="N339" i="10"/>
  <c r="M339" i="10"/>
  <c r="L339" i="10"/>
  <c r="U338" i="10"/>
  <c r="Q338" i="10"/>
  <c r="P338" i="10"/>
  <c r="O338" i="10"/>
  <c r="N338" i="10"/>
  <c r="M338" i="10"/>
  <c r="L338" i="10"/>
  <c r="U337" i="10"/>
  <c r="Q337" i="10"/>
  <c r="P337" i="10"/>
  <c r="O337" i="10"/>
  <c r="N337" i="10"/>
  <c r="M337" i="10"/>
  <c r="L337" i="10"/>
  <c r="U336" i="10"/>
  <c r="Q336" i="10"/>
  <c r="P336" i="10"/>
  <c r="O336" i="10"/>
  <c r="N336" i="10"/>
  <c r="M336" i="10"/>
  <c r="L336" i="10"/>
  <c r="U335" i="10"/>
  <c r="Q335" i="10"/>
  <c r="P335" i="10"/>
  <c r="O335" i="10"/>
  <c r="N335" i="10"/>
  <c r="M335" i="10"/>
  <c r="L335" i="10"/>
  <c r="U334" i="10"/>
  <c r="Q334" i="10"/>
  <c r="P334" i="10"/>
  <c r="O334" i="10"/>
  <c r="N334" i="10"/>
  <c r="M334" i="10"/>
  <c r="L334" i="10"/>
  <c r="U333" i="10"/>
  <c r="Q333" i="10"/>
  <c r="P333" i="10"/>
  <c r="O333" i="10"/>
  <c r="N333" i="10"/>
  <c r="M333" i="10"/>
  <c r="L333" i="10"/>
  <c r="U332" i="10"/>
  <c r="Q332" i="10"/>
  <c r="P332" i="10"/>
  <c r="O332" i="10"/>
  <c r="N332" i="10"/>
  <c r="M332" i="10"/>
  <c r="L332" i="10"/>
  <c r="U331" i="10"/>
  <c r="Q331" i="10"/>
  <c r="P331" i="10"/>
  <c r="O331" i="10"/>
  <c r="N331" i="10"/>
  <c r="M331" i="10"/>
  <c r="L331" i="10"/>
  <c r="U330" i="10"/>
  <c r="Q330" i="10"/>
  <c r="P330" i="10"/>
  <c r="O330" i="10"/>
  <c r="N330" i="10"/>
  <c r="M330" i="10"/>
  <c r="L330" i="10"/>
  <c r="U329" i="10"/>
  <c r="Q329" i="10"/>
  <c r="P329" i="10"/>
  <c r="O329" i="10"/>
  <c r="N329" i="10"/>
  <c r="M329" i="10"/>
  <c r="L329" i="10"/>
  <c r="U328" i="10"/>
  <c r="Q328" i="10"/>
  <c r="P328" i="10"/>
  <c r="O328" i="10"/>
  <c r="N328" i="10"/>
  <c r="M328" i="10"/>
  <c r="L328" i="10"/>
  <c r="U327" i="10"/>
  <c r="Q327" i="10"/>
  <c r="P327" i="10"/>
  <c r="O327" i="10"/>
  <c r="N327" i="10"/>
  <c r="M327" i="10"/>
  <c r="L327" i="10"/>
  <c r="U326" i="10"/>
  <c r="Q326" i="10"/>
  <c r="P326" i="10"/>
  <c r="O326" i="10"/>
  <c r="N326" i="10"/>
  <c r="M326" i="10"/>
  <c r="L326" i="10"/>
  <c r="U325" i="10"/>
  <c r="Q325" i="10"/>
  <c r="P325" i="10"/>
  <c r="O325" i="10"/>
  <c r="N325" i="10"/>
  <c r="M325" i="10"/>
  <c r="L325" i="10"/>
  <c r="U324" i="10"/>
  <c r="Q324" i="10"/>
  <c r="P324" i="10"/>
  <c r="O324" i="10"/>
  <c r="N324" i="10"/>
  <c r="M324" i="10"/>
  <c r="L324" i="10"/>
  <c r="U323" i="10"/>
  <c r="Q323" i="10"/>
  <c r="P323" i="10"/>
  <c r="O323" i="10"/>
  <c r="N323" i="10"/>
  <c r="M323" i="10"/>
  <c r="L323" i="10"/>
  <c r="U322" i="10"/>
  <c r="Q322" i="10"/>
  <c r="P322" i="10"/>
  <c r="O322" i="10"/>
  <c r="N322" i="10"/>
  <c r="M322" i="10"/>
  <c r="L322" i="10"/>
  <c r="U321" i="10"/>
  <c r="Q321" i="10"/>
  <c r="P321" i="10"/>
  <c r="O321" i="10"/>
  <c r="N321" i="10"/>
  <c r="M321" i="10"/>
  <c r="L321" i="10"/>
  <c r="U320" i="10"/>
  <c r="Q320" i="10"/>
  <c r="P320" i="10"/>
  <c r="O320" i="10"/>
  <c r="N320" i="10"/>
  <c r="M320" i="10"/>
  <c r="L320" i="10"/>
  <c r="U319" i="10"/>
  <c r="Q319" i="10"/>
  <c r="P319" i="10"/>
  <c r="O319" i="10"/>
  <c r="N319" i="10"/>
  <c r="M319" i="10"/>
  <c r="L319" i="10"/>
  <c r="U318" i="10"/>
  <c r="Q318" i="10"/>
  <c r="P318" i="10"/>
  <c r="O318" i="10"/>
  <c r="N318" i="10"/>
  <c r="M318" i="10"/>
  <c r="L318" i="10"/>
  <c r="U317" i="10"/>
  <c r="Q317" i="10"/>
  <c r="P317" i="10"/>
  <c r="O317" i="10"/>
  <c r="N317" i="10"/>
  <c r="M317" i="10"/>
  <c r="L317" i="10"/>
  <c r="U316" i="10"/>
  <c r="Q316" i="10"/>
  <c r="P316" i="10"/>
  <c r="O316" i="10"/>
  <c r="N316" i="10"/>
  <c r="M316" i="10"/>
  <c r="L316" i="10"/>
  <c r="U315" i="10"/>
  <c r="Q315" i="10"/>
  <c r="P315" i="10"/>
  <c r="O315" i="10"/>
  <c r="N315" i="10"/>
  <c r="M315" i="10"/>
  <c r="L315" i="10"/>
  <c r="U314" i="10"/>
  <c r="Q314" i="10"/>
  <c r="P314" i="10"/>
  <c r="O314" i="10"/>
  <c r="N314" i="10"/>
  <c r="M314" i="10"/>
  <c r="L314" i="10"/>
  <c r="U313" i="10"/>
  <c r="Q313" i="10"/>
  <c r="P313" i="10"/>
  <c r="O313" i="10"/>
  <c r="N313" i="10"/>
  <c r="M313" i="10"/>
  <c r="L313" i="10"/>
  <c r="U312" i="10"/>
  <c r="Q312" i="10"/>
  <c r="P312" i="10"/>
  <c r="O312" i="10"/>
  <c r="N312" i="10"/>
  <c r="M312" i="10"/>
  <c r="L312" i="10"/>
  <c r="U311" i="10"/>
  <c r="Q311" i="10"/>
  <c r="P311" i="10"/>
  <c r="O311" i="10"/>
  <c r="N311" i="10"/>
  <c r="M311" i="10"/>
  <c r="L311" i="10"/>
  <c r="U310" i="10"/>
  <c r="Q310" i="10"/>
  <c r="P310" i="10"/>
  <c r="O310" i="10"/>
  <c r="N310" i="10"/>
  <c r="M310" i="10"/>
  <c r="L310" i="10"/>
  <c r="U309" i="10"/>
  <c r="Q309" i="10"/>
  <c r="P309" i="10"/>
  <c r="O309" i="10"/>
  <c r="N309" i="10"/>
  <c r="M309" i="10"/>
  <c r="L309" i="10"/>
  <c r="U308" i="10"/>
  <c r="Q308" i="10"/>
  <c r="P308" i="10"/>
  <c r="O308" i="10"/>
  <c r="N308" i="10"/>
  <c r="M308" i="10"/>
  <c r="L308" i="10"/>
  <c r="U307" i="10"/>
  <c r="Q307" i="10"/>
  <c r="P307" i="10"/>
  <c r="O307" i="10"/>
  <c r="N307" i="10"/>
  <c r="M307" i="10"/>
  <c r="L307" i="10"/>
  <c r="U306" i="10"/>
  <c r="Q306" i="10"/>
  <c r="P306" i="10"/>
  <c r="O306" i="10"/>
  <c r="N306" i="10"/>
  <c r="M306" i="10"/>
  <c r="L306" i="10"/>
  <c r="U305" i="10"/>
  <c r="Q305" i="10"/>
  <c r="P305" i="10"/>
  <c r="O305" i="10"/>
  <c r="N305" i="10"/>
  <c r="M305" i="10"/>
  <c r="L305" i="10"/>
  <c r="U304" i="10"/>
  <c r="Q304" i="10"/>
  <c r="P304" i="10"/>
  <c r="O304" i="10"/>
  <c r="N304" i="10"/>
  <c r="M304" i="10"/>
  <c r="L304" i="10"/>
  <c r="U303" i="10"/>
  <c r="Q303" i="10"/>
  <c r="P303" i="10"/>
  <c r="O303" i="10"/>
  <c r="N303" i="10"/>
  <c r="M303" i="10"/>
  <c r="L303" i="10"/>
  <c r="U302" i="10"/>
  <c r="Q302" i="10"/>
  <c r="P302" i="10"/>
  <c r="O302" i="10"/>
  <c r="N302" i="10"/>
  <c r="M302" i="10"/>
  <c r="L302" i="10"/>
  <c r="U301" i="10"/>
  <c r="Q301" i="10"/>
  <c r="P301" i="10"/>
  <c r="O301" i="10"/>
  <c r="N301" i="10"/>
  <c r="M301" i="10"/>
  <c r="L301" i="10"/>
  <c r="U300" i="10"/>
  <c r="Q300" i="10"/>
  <c r="P300" i="10"/>
  <c r="O300" i="10"/>
  <c r="N300" i="10"/>
  <c r="M300" i="10"/>
  <c r="L300" i="10"/>
  <c r="U299" i="10"/>
  <c r="Q299" i="10"/>
  <c r="P299" i="10"/>
  <c r="O299" i="10"/>
  <c r="N299" i="10"/>
  <c r="M299" i="10"/>
  <c r="L299" i="10"/>
  <c r="U298" i="10"/>
  <c r="Q298" i="10"/>
  <c r="P298" i="10"/>
  <c r="O298" i="10"/>
  <c r="N298" i="10"/>
  <c r="M298" i="10"/>
  <c r="L298" i="10"/>
  <c r="U297" i="10"/>
  <c r="Q297" i="10"/>
  <c r="P297" i="10"/>
  <c r="O297" i="10"/>
  <c r="N297" i="10"/>
  <c r="M297" i="10"/>
  <c r="L297" i="10"/>
  <c r="U296" i="10"/>
  <c r="Q296" i="10"/>
  <c r="P296" i="10"/>
  <c r="O296" i="10"/>
  <c r="N296" i="10"/>
  <c r="M296" i="10"/>
  <c r="L296" i="10"/>
  <c r="U295" i="10"/>
  <c r="Q295" i="10"/>
  <c r="P295" i="10"/>
  <c r="O295" i="10"/>
  <c r="N295" i="10"/>
  <c r="M295" i="10"/>
  <c r="L295" i="10"/>
  <c r="U294" i="10"/>
  <c r="Q294" i="10"/>
  <c r="P294" i="10"/>
  <c r="O294" i="10"/>
  <c r="N294" i="10"/>
  <c r="M294" i="10"/>
  <c r="L294" i="10"/>
  <c r="U293" i="10"/>
  <c r="Q293" i="10"/>
  <c r="P293" i="10"/>
  <c r="O293" i="10"/>
  <c r="N293" i="10"/>
  <c r="M293" i="10"/>
  <c r="L293" i="10"/>
  <c r="U292" i="10"/>
  <c r="Q292" i="10"/>
  <c r="P292" i="10"/>
  <c r="O292" i="10"/>
  <c r="N292" i="10"/>
  <c r="M292" i="10"/>
  <c r="L292" i="10"/>
  <c r="U291" i="10"/>
  <c r="Q291" i="10"/>
  <c r="P291" i="10"/>
  <c r="O291" i="10"/>
  <c r="N291" i="10"/>
  <c r="M291" i="10"/>
  <c r="L291" i="10"/>
  <c r="U290" i="10"/>
  <c r="Q290" i="10"/>
  <c r="P290" i="10"/>
  <c r="O290" i="10"/>
  <c r="N290" i="10"/>
  <c r="M290" i="10"/>
  <c r="L290" i="10"/>
  <c r="U289" i="10"/>
  <c r="Q289" i="10"/>
  <c r="P289" i="10"/>
  <c r="O289" i="10"/>
  <c r="N289" i="10"/>
  <c r="M289" i="10"/>
  <c r="L289" i="10"/>
  <c r="U288" i="10"/>
  <c r="Q288" i="10"/>
  <c r="P288" i="10"/>
  <c r="O288" i="10"/>
  <c r="N288" i="10"/>
  <c r="M288" i="10"/>
  <c r="L288" i="10"/>
  <c r="U287" i="10"/>
  <c r="Q287" i="10"/>
  <c r="P287" i="10"/>
  <c r="O287" i="10"/>
  <c r="N287" i="10"/>
  <c r="M287" i="10"/>
  <c r="L287" i="10"/>
  <c r="U286" i="10"/>
  <c r="Q286" i="10"/>
  <c r="P286" i="10"/>
  <c r="O286" i="10"/>
  <c r="N286" i="10"/>
  <c r="M286" i="10"/>
  <c r="L286" i="10"/>
  <c r="U285" i="10"/>
  <c r="Q285" i="10"/>
  <c r="P285" i="10"/>
  <c r="O285" i="10"/>
  <c r="N285" i="10"/>
  <c r="M285" i="10"/>
  <c r="L285" i="10"/>
  <c r="U284" i="10"/>
  <c r="Q284" i="10"/>
  <c r="P284" i="10"/>
  <c r="O284" i="10"/>
  <c r="N284" i="10"/>
  <c r="M284" i="10"/>
  <c r="L284" i="10"/>
  <c r="U283" i="10"/>
  <c r="Q283" i="10"/>
  <c r="P283" i="10"/>
  <c r="O283" i="10"/>
  <c r="N283" i="10"/>
  <c r="M283" i="10"/>
  <c r="L283" i="10"/>
  <c r="U282" i="10"/>
  <c r="Q282" i="10"/>
  <c r="P282" i="10"/>
  <c r="O282" i="10"/>
  <c r="N282" i="10"/>
  <c r="M282" i="10"/>
  <c r="L282" i="10"/>
  <c r="U281" i="10"/>
  <c r="Q281" i="10"/>
  <c r="P281" i="10"/>
  <c r="O281" i="10"/>
  <c r="N281" i="10"/>
  <c r="M281" i="10"/>
  <c r="L281" i="10"/>
  <c r="U280" i="10"/>
  <c r="Q280" i="10"/>
  <c r="P280" i="10"/>
  <c r="O280" i="10"/>
  <c r="N280" i="10"/>
  <c r="M280" i="10"/>
  <c r="L280" i="10"/>
  <c r="U279" i="10"/>
  <c r="Q279" i="10"/>
  <c r="P279" i="10"/>
  <c r="O279" i="10"/>
  <c r="N279" i="10"/>
  <c r="M279" i="10"/>
  <c r="L279" i="10"/>
  <c r="U278" i="10"/>
  <c r="Q278" i="10"/>
  <c r="P278" i="10"/>
  <c r="O278" i="10"/>
  <c r="N278" i="10"/>
  <c r="M278" i="10"/>
  <c r="L278" i="10"/>
  <c r="U277" i="10"/>
  <c r="Q277" i="10"/>
  <c r="P277" i="10"/>
  <c r="O277" i="10"/>
  <c r="N277" i="10"/>
  <c r="M277" i="10"/>
  <c r="L277" i="10"/>
  <c r="U276" i="10"/>
  <c r="Q276" i="10"/>
  <c r="P276" i="10"/>
  <c r="O276" i="10"/>
  <c r="N276" i="10"/>
  <c r="M276" i="10"/>
  <c r="L276" i="10"/>
  <c r="U275" i="10"/>
  <c r="Q275" i="10"/>
  <c r="P275" i="10"/>
  <c r="O275" i="10"/>
  <c r="N275" i="10"/>
  <c r="M275" i="10"/>
  <c r="L275" i="10"/>
  <c r="U274" i="10"/>
  <c r="Q274" i="10"/>
  <c r="P274" i="10"/>
  <c r="O274" i="10"/>
  <c r="N274" i="10"/>
  <c r="M274" i="10"/>
  <c r="L274" i="10"/>
  <c r="U273" i="10"/>
  <c r="Q273" i="10"/>
  <c r="P273" i="10"/>
  <c r="O273" i="10"/>
  <c r="N273" i="10"/>
  <c r="M273" i="10"/>
  <c r="L273" i="10"/>
  <c r="U272" i="10"/>
  <c r="Q272" i="10"/>
  <c r="P272" i="10"/>
  <c r="O272" i="10"/>
  <c r="N272" i="10"/>
  <c r="M272" i="10"/>
  <c r="L272" i="10"/>
  <c r="U271" i="10"/>
  <c r="Q271" i="10"/>
  <c r="P271" i="10"/>
  <c r="O271" i="10"/>
  <c r="N271" i="10"/>
  <c r="M271" i="10"/>
  <c r="L271" i="10"/>
  <c r="U270" i="10"/>
  <c r="Q270" i="10"/>
  <c r="P270" i="10"/>
  <c r="O270" i="10"/>
  <c r="N270" i="10"/>
  <c r="M270" i="10"/>
  <c r="L270" i="10"/>
  <c r="U269" i="10"/>
  <c r="Q269" i="10"/>
  <c r="P269" i="10"/>
  <c r="O269" i="10"/>
  <c r="N269" i="10"/>
  <c r="M269" i="10"/>
  <c r="L269" i="10"/>
  <c r="U268" i="10"/>
  <c r="Q268" i="10"/>
  <c r="P268" i="10"/>
  <c r="O268" i="10"/>
  <c r="N268" i="10"/>
  <c r="M268" i="10"/>
  <c r="L268" i="10"/>
  <c r="U267" i="10"/>
  <c r="Q267" i="10"/>
  <c r="P267" i="10"/>
  <c r="O267" i="10"/>
  <c r="N267" i="10"/>
  <c r="M267" i="10"/>
  <c r="L267" i="10"/>
  <c r="U266" i="10"/>
  <c r="Q266" i="10"/>
  <c r="P266" i="10"/>
  <c r="O266" i="10"/>
  <c r="N266" i="10"/>
  <c r="M266" i="10"/>
  <c r="L266" i="10"/>
  <c r="U265" i="10"/>
  <c r="Q265" i="10"/>
  <c r="P265" i="10"/>
  <c r="O265" i="10"/>
  <c r="N265" i="10"/>
  <c r="M265" i="10"/>
  <c r="L265" i="10"/>
  <c r="U264" i="10"/>
  <c r="Q264" i="10"/>
  <c r="P264" i="10"/>
  <c r="O264" i="10"/>
  <c r="N264" i="10"/>
  <c r="M264" i="10"/>
  <c r="L264" i="10"/>
  <c r="U263" i="10"/>
  <c r="Q263" i="10"/>
  <c r="P263" i="10"/>
  <c r="O263" i="10"/>
  <c r="N263" i="10"/>
  <c r="M263" i="10"/>
  <c r="L263" i="10"/>
  <c r="U262" i="10"/>
  <c r="Q262" i="10"/>
  <c r="P262" i="10"/>
  <c r="O262" i="10"/>
  <c r="N262" i="10"/>
  <c r="M262" i="10"/>
  <c r="L262" i="10"/>
  <c r="U261" i="10"/>
  <c r="Q261" i="10"/>
  <c r="P261" i="10"/>
  <c r="O261" i="10"/>
  <c r="N261" i="10"/>
  <c r="M261" i="10"/>
  <c r="L261" i="10"/>
  <c r="U260" i="10"/>
  <c r="Q260" i="10"/>
  <c r="P260" i="10"/>
  <c r="O260" i="10"/>
  <c r="N260" i="10"/>
  <c r="M260" i="10"/>
  <c r="L260" i="10"/>
  <c r="U259" i="10"/>
  <c r="Q259" i="10"/>
  <c r="P259" i="10"/>
  <c r="O259" i="10"/>
  <c r="N259" i="10"/>
  <c r="M259" i="10"/>
  <c r="L259" i="10"/>
  <c r="U258" i="10"/>
  <c r="Q258" i="10"/>
  <c r="P258" i="10"/>
  <c r="O258" i="10"/>
  <c r="N258" i="10"/>
  <c r="M258" i="10"/>
  <c r="L258" i="10"/>
  <c r="U257" i="10"/>
  <c r="Q257" i="10"/>
  <c r="P257" i="10"/>
  <c r="O257" i="10"/>
  <c r="N257" i="10"/>
  <c r="M257" i="10"/>
  <c r="L257" i="10"/>
  <c r="U256" i="10"/>
  <c r="Q256" i="10"/>
  <c r="P256" i="10"/>
  <c r="O256" i="10"/>
  <c r="N256" i="10"/>
  <c r="M256" i="10"/>
  <c r="L256" i="10"/>
  <c r="U255" i="10"/>
  <c r="Q255" i="10"/>
  <c r="P255" i="10"/>
  <c r="O255" i="10"/>
  <c r="N255" i="10"/>
  <c r="M255" i="10"/>
  <c r="L255" i="10"/>
  <c r="U254" i="10"/>
  <c r="Q254" i="10"/>
  <c r="P254" i="10"/>
  <c r="O254" i="10"/>
  <c r="N254" i="10"/>
  <c r="M254" i="10"/>
  <c r="L254" i="10"/>
  <c r="U253" i="10"/>
  <c r="Q253" i="10"/>
  <c r="P253" i="10"/>
  <c r="O253" i="10"/>
  <c r="N253" i="10"/>
  <c r="M253" i="10"/>
  <c r="L253" i="10"/>
  <c r="U252" i="10"/>
  <c r="Q252" i="10"/>
  <c r="P252" i="10"/>
  <c r="O252" i="10"/>
  <c r="N252" i="10"/>
  <c r="M252" i="10"/>
  <c r="L252" i="10"/>
  <c r="U251" i="10"/>
  <c r="Q251" i="10"/>
  <c r="P251" i="10"/>
  <c r="O251" i="10"/>
  <c r="N251" i="10"/>
  <c r="M251" i="10"/>
  <c r="L251" i="10"/>
  <c r="U250" i="10"/>
  <c r="Q250" i="10"/>
  <c r="P250" i="10"/>
  <c r="O250" i="10"/>
  <c r="N250" i="10"/>
  <c r="M250" i="10"/>
  <c r="L250" i="10"/>
  <c r="U249" i="10"/>
  <c r="Q249" i="10"/>
  <c r="P249" i="10"/>
  <c r="O249" i="10"/>
  <c r="N249" i="10"/>
  <c r="M249" i="10"/>
  <c r="L249" i="10"/>
  <c r="U248" i="10"/>
  <c r="Q248" i="10"/>
  <c r="P248" i="10"/>
  <c r="O248" i="10"/>
  <c r="N248" i="10"/>
  <c r="M248" i="10"/>
  <c r="L248" i="10"/>
  <c r="U247" i="10"/>
  <c r="Q247" i="10"/>
  <c r="P247" i="10"/>
  <c r="O247" i="10"/>
  <c r="N247" i="10"/>
  <c r="M247" i="10"/>
  <c r="L247" i="10"/>
  <c r="U246" i="10"/>
  <c r="Q246" i="10"/>
  <c r="P246" i="10"/>
  <c r="O246" i="10"/>
  <c r="N246" i="10"/>
  <c r="M246" i="10"/>
  <c r="L246" i="10"/>
  <c r="U245" i="10"/>
  <c r="Q245" i="10"/>
  <c r="P245" i="10"/>
  <c r="O245" i="10"/>
  <c r="N245" i="10"/>
  <c r="M245" i="10"/>
  <c r="L245" i="10"/>
  <c r="U244" i="10"/>
  <c r="Q244" i="10"/>
  <c r="P244" i="10"/>
  <c r="O244" i="10"/>
  <c r="N244" i="10"/>
  <c r="M244" i="10"/>
  <c r="L244" i="10"/>
  <c r="U243" i="10"/>
  <c r="Q243" i="10"/>
  <c r="P243" i="10"/>
  <c r="O243" i="10"/>
  <c r="N243" i="10"/>
  <c r="M243" i="10"/>
  <c r="L243" i="10"/>
  <c r="U242" i="10"/>
  <c r="Q242" i="10"/>
  <c r="P242" i="10"/>
  <c r="O242" i="10"/>
  <c r="N242" i="10"/>
  <c r="M242" i="10"/>
  <c r="L242" i="10"/>
  <c r="U241" i="10"/>
  <c r="Q241" i="10"/>
  <c r="P241" i="10"/>
  <c r="O241" i="10"/>
  <c r="N241" i="10"/>
  <c r="M241" i="10"/>
  <c r="L241" i="10"/>
  <c r="U240" i="10"/>
  <c r="Q240" i="10"/>
  <c r="P240" i="10"/>
  <c r="O240" i="10"/>
  <c r="N240" i="10"/>
  <c r="M240" i="10"/>
  <c r="L240" i="10"/>
  <c r="U239" i="10"/>
  <c r="Q239" i="10"/>
  <c r="P239" i="10"/>
  <c r="O239" i="10"/>
  <c r="N239" i="10"/>
  <c r="M239" i="10"/>
  <c r="L239" i="10"/>
  <c r="U238" i="10"/>
  <c r="Q238" i="10"/>
  <c r="P238" i="10"/>
  <c r="O238" i="10"/>
  <c r="N238" i="10"/>
  <c r="M238" i="10"/>
  <c r="L238" i="10"/>
  <c r="U237" i="10"/>
  <c r="Q237" i="10"/>
  <c r="P237" i="10"/>
  <c r="O237" i="10"/>
  <c r="N237" i="10"/>
  <c r="M237" i="10"/>
  <c r="L237" i="10"/>
  <c r="U236" i="10"/>
  <c r="Q236" i="10"/>
  <c r="P236" i="10"/>
  <c r="O236" i="10"/>
  <c r="N236" i="10"/>
  <c r="M236" i="10"/>
  <c r="L236" i="10"/>
  <c r="U235" i="10"/>
  <c r="Q235" i="10"/>
  <c r="P235" i="10"/>
  <c r="O235" i="10"/>
  <c r="N235" i="10"/>
  <c r="M235" i="10"/>
  <c r="L235" i="10"/>
  <c r="U234" i="10"/>
  <c r="Q234" i="10"/>
  <c r="P234" i="10"/>
  <c r="O234" i="10"/>
  <c r="N234" i="10"/>
  <c r="M234" i="10"/>
  <c r="L234" i="10"/>
  <c r="U233" i="10"/>
  <c r="Q233" i="10"/>
  <c r="P233" i="10"/>
  <c r="O233" i="10"/>
  <c r="N233" i="10"/>
  <c r="M233" i="10"/>
  <c r="L233" i="10"/>
  <c r="U232" i="10"/>
  <c r="Q232" i="10"/>
  <c r="P232" i="10"/>
  <c r="O232" i="10"/>
  <c r="N232" i="10"/>
  <c r="M232" i="10"/>
  <c r="L232" i="10"/>
  <c r="U231" i="10"/>
  <c r="Q231" i="10"/>
  <c r="P231" i="10"/>
  <c r="O231" i="10"/>
  <c r="N231" i="10"/>
  <c r="M231" i="10"/>
  <c r="L231" i="10"/>
  <c r="U230" i="10"/>
  <c r="Q230" i="10"/>
  <c r="P230" i="10"/>
  <c r="O230" i="10"/>
  <c r="N230" i="10"/>
  <c r="M230" i="10"/>
  <c r="L230" i="10"/>
  <c r="U229" i="10"/>
  <c r="Q229" i="10"/>
  <c r="P229" i="10"/>
  <c r="O229" i="10"/>
  <c r="N229" i="10"/>
  <c r="M229" i="10"/>
  <c r="L229" i="10"/>
  <c r="U228" i="10"/>
  <c r="Q228" i="10"/>
  <c r="P228" i="10"/>
  <c r="O228" i="10"/>
  <c r="N228" i="10"/>
  <c r="M228" i="10"/>
  <c r="L228" i="10"/>
  <c r="U227" i="10"/>
  <c r="Q227" i="10"/>
  <c r="P227" i="10"/>
  <c r="O227" i="10"/>
  <c r="N227" i="10"/>
  <c r="M227" i="10"/>
  <c r="L227" i="10"/>
  <c r="U226" i="10"/>
  <c r="Q226" i="10"/>
  <c r="P226" i="10"/>
  <c r="O226" i="10"/>
  <c r="N226" i="10"/>
  <c r="M226" i="10"/>
  <c r="L226" i="10"/>
  <c r="U225" i="10"/>
  <c r="Q225" i="10"/>
  <c r="P225" i="10"/>
  <c r="O225" i="10"/>
  <c r="N225" i="10"/>
  <c r="M225" i="10"/>
  <c r="L225" i="10"/>
  <c r="U224" i="10"/>
  <c r="Q224" i="10"/>
  <c r="P224" i="10"/>
  <c r="O224" i="10"/>
  <c r="N224" i="10"/>
  <c r="M224" i="10"/>
  <c r="L224" i="10"/>
  <c r="U223" i="10"/>
  <c r="Q223" i="10"/>
  <c r="P223" i="10"/>
  <c r="O223" i="10"/>
  <c r="N223" i="10"/>
  <c r="M223" i="10"/>
  <c r="L223" i="10"/>
  <c r="U222" i="10"/>
  <c r="Q222" i="10"/>
  <c r="P222" i="10"/>
  <c r="O222" i="10"/>
  <c r="N222" i="10"/>
  <c r="M222" i="10"/>
  <c r="L222" i="10"/>
  <c r="U221" i="10"/>
  <c r="Q221" i="10"/>
  <c r="P221" i="10"/>
  <c r="O221" i="10"/>
  <c r="N221" i="10"/>
  <c r="M221" i="10"/>
  <c r="L221" i="10"/>
  <c r="U220" i="10"/>
  <c r="Q220" i="10"/>
  <c r="P220" i="10"/>
  <c r="O220" i="10"/>
  <c r="N220" i="10"/>
  <c r="M220" i="10"/>
  <c r="L220" i="10"/>
  <c r="U219" i="10"/>
  <c r="Q219" i="10"/>
  <c r="P219" i="10"/>
  <c r="O219" i="10"/>
  <c r="N219" i="10"/>
  <c r="M219" i="10"/>
  <c r="L219" i="10"/>
  <c r="U218" i="10"/>
  <c r="Q218" i="10"/>
  <c r="P218" i="10"/>
  <c r="O218" i="10"/>
  <c r="N218" i="10"/>
  <c r="M218" i="10"/>
  <c r="L218" i="10"/>
  <c r="U217" i="10"/>
  <c r="Q217" i="10"/>
  <c r="P217" i="10"/>
  <c r="O217" i="10"/>
  <c r="N217" i="10"/>
  <c r="M217" i="10"/>
  <c r="L217" i="10"/>
  <c r="U216" i="10"/>
  <c r="Q216" i="10"/>
  <c r="P216" i="10"/>
  <c r="O216" i="10"/>
  <c r="N216" i="10"/>
  <c r="M216" i="10"/>
  <c r="L216" i="10"/>
  <c r="U215" i="10"/>
  <c r="Q215" i="10"/>
  <c r="P215" i="10"/>
  <c r="O215" i="10"/>
  <c r="N215" i="10"/>
  <c r="M215" i="10"/>
  <c r="L215" i="10"/>
  <c r="U214" i="10"/>
  <c r="Q214" i="10"/>
  <c r="P214" i="10"/>
  <c r="O214" i="10"/>
  <c r="N214" i="10"/>
  <c r="M214" i="10"/>
  <c r="L214" i="10"/>
  <c r="U213" i="10"/>
  <c r="Q213" i="10"/>
  <c r="P213" i="10"/>
  <c r="O213" i="10"/>
  <c r="N213" i="10"/>
  <c r="M213" i="10"/>
  <c r="L213" i="10"/>
  <c r="U212" i="10"/>
  <c r="Q212" i="10"/>
  <c r="P212" i="10"/>
  <c r="O212" i="10"/>
  <c r="N212" i="10"/>
  <c r="M212" i="10"/>
  <c r="L212" i="10"/>
  <c r="U211" i="10"/>
  <c r="Q211" i="10"/>
  <c r="P211" i="10"/>
  <c r="O211" i="10"/>
  <c r="N211" i="10"/>
  <c r="M211" i="10"/>
  <c r="L211" i="10"/>
  <c r="U210" i="10"/>
  <c r="Q210" i="10"/>
  <c r="P210" i="10"/>
  <c r="O210" i="10"/>
  <c r="N210" i="10"/>
  <c r="M210" i="10"/>
  <c r="L210" i="10"/>
  <c r="U209" i="10"/>
  <c r="Q209" i="10"/>
  <c r="P209" i="10"/>
  <c r="O209" i="10"/>
  <c r="N209" i="10"/>
  <c r="M209" i="10"/>
  <c r="L209" i="10"/>
  <c r="U208" i="10"/>
  <c r="Q208" i="10"/>
  <c r="P208" i="10"/>
  <c r="O208" i="10"/>
  <c r="N208" i="10"/>
  <c r="M208" i="10"/>
  <c r="L208" i="10"/>
  <c r="U207" i="10"/>
  <c r="Q207" i="10"/>
  <c r="P207" i="10"/>
  <c r="O207" i="10"/>
  <c r="N207" i="10"/>
  <c r="M207" i="10"/>
  <c r="L207" i="10"/>
  <c r="U206" i="10"/>
  <c r="Q206" i="10"/>
  <c r="P206" i="10"/>
  <c r="O206" i="10"/>
  <c r="N206" i="10"/>
  <c r="M206" i="10"/>
  <c r="L206" i="10"/>
  <c r="U205" i="10"/>
  <c r="Q205" i="10"/>
  <c r="P205" i="10"/>
  <c r="O205" i="10"/>
  <c r="N205" i="10"/>
  <c r="M205" i="10"/>
  <c r="L205" i="10"/>
  <c r="U204" i="10"/>
  <c r="Q204" i="10"/>
  <c r="P204" i="10"/>
  <c r="O204" i="10"/>
  <c r="N204" i="10"/>
  <c r="M204" i="10"/>
  <c r="L204" i="10"/>
  <c r="U203" i="10"/>
  <c r="Q203" i="10"/>
  <c r="P203" i="10"/>
  <c r="O203" i="10"/>
  <c r="N203" i="10"/>
  <c r="M203" i="10"/>
  <c r="L203" i="10"/>
  <c r="U202" i="10"/>
  <c r="Q202" i="10"/>
  <c r="P202" i="10"/>
  <c r="O202" i="10"/>
  <c r="N202" i="10"/>
  <c r="M202" i="10"/>
  <c r="L202" i="10"/>
  <c r="U201" i="10"/>
  <c r="Q201" i="10"/>
  <c r="P201" i="10"/>
  <c r="O201" i="10"/>
  <c r="N201" i="10"/>
  <c r="M201" i="10"/>
  <c r="L201" i="10"/>
  <c r="U200" i="10"/>
  <c r="Q200" i="10"/>
  <c r="P200" i="10"/>
  <c r="O200" i="10"/>
  <c r="N200" i="10"/>
  <c r="M200" i="10"/>
  <c r="L200" i="10"/>
  <c r="U199" i="10"/>
  <c r="Q199" i="10"/>
  <c r="P199" i="10"/>
  <c r="O199" i="10"/>
  <c r="N199" i="10"/>
  <c r="M199" i="10"/>
  <c r="L199" i="10"/>
  <c r="U198" i="10"/>
  <c r="Q198" i="10"/>
  <c r="P198" i="10"/>
  <c r="O198" i="10"/>
  <c r="N198" i="10"/>
  <c r="M198" i="10"/>
  <c r="L198" i="10"/>
  <c r="U197" i="10"/>
  <c r="Q197" i="10"/>
  <c r="P197" i="10"/>
  <c r="O197" i="10"/>
  <c r="N197" i="10"/>
  <c r="M197" i="10"/>
  <c r="L197" i="10"/>
  <c r="U196" i="10"/>
  <c r="Q196" i="10"/>
  <c r="P196" i="10"/>
  <c r="O196" i="10"/>
  <c r="N196" i="10"/>
  <c r="M196" i="10"/>
  <c r="L196" i="10"/>
  <c r="U195" i="10"/>
  <c r="Q195" i="10"/>
  <c r="P195" i="10"/>
  <c r="O195" i="10"/>
  <c r="N195" i="10"/>
  <c r="M195" i="10"/>
  <c r="L195" i="10"/>
  <c r="U194" i="10"/>
  <c r="Q194" i="10"/>
  <c r="P194" i="10"/>
  <c r="O194" i="10"/>
  <c r="N194" i="10"/>
  <c r="M194" i="10"/>
  <c r="L194" i="10"/>
  <c r="U193" i="10"/>
  <c r="Q193" i="10"/>
  <c r="P193" i="10"/>
  <c r="O193" i="10"/>
  <c r="N193" i="10"/>
  <c r="M193" i="10"/>
  <c r="L193" i="10"/>
  <c r="U192" i="10"/>
  <c r="Q192" i="10"/>
  <c r="P192" i="10"/>
  <c r="O192" i="10"/>
  <c r="N192" i="10"/>
  <c r="M192" i="10"/>
  <c r="L192" i="10"/>
  <c r="U191" i="10"/>
  <c r="Q191" i="10"/>
  <c r="P191" i="10"/>
  <c r="O191" i="10"/>
  <c r="N191" i="10"/>
  <c r="M191" i="10"/>
  <c r="L191" i="10"/>
  <c r="U190" i="10"/>
  <c r="Q190" i="10"/>
  <c r="P190" i="10"/>
  <c r="O190" i="10"/>
  <c r="N190" i="10"/>
  <c r="M190" i="10"/>
  <c r="L190" i="10"/>
  <c r="U189" i="10"/>
  <c r="Q189" i="10"/>
  <c r="P189" i="10"/>
  <c r="O189" i="10"/>
  <c r="N189" i="10"/>
  <c r="M189" i="10"/>
  <c r="L189" i="10"/>
  <c r="U188" i="10"/>
  <c r="Q188" i="10"/>
  <c r="P188" i="10"/>
  <c r="O188" i="10"/>
  <c r="N188" i="10"/>
  <c r="M188" i="10"/>
  <c r="L188" i="10"/>
  <c r="U187" i="10"/>
  <c r="Q187" i="10"/>
  <c r="P187" i="10"/>
  <c r="O187" i="10"/>
  <c r="N187" i="10"/>
  <c r="M187" i="10"/>
  <c r="L187" i="10"/>
  <c r="U186" i="10"/>
  <c r="Q186" i="10"/>
  <c r="P186" i="10"/>
  <c r="O186" i="10"/>
  <c r="N186" i="10"/>
  <c r="M186" i="10"/>
  <c r="L186" i="10"/>
  <c r="U185" i="10"/>
  <c r="Q185" i="10"/>
  <c r="P185" i="10"/>
  <c r="O185" i="10"/>
  <c r="N185" i="10"/>
  <c r="M185" i="10"/>
  <c r="L185" i="10"/>
  <c r="U184" i="10"/>
  <c r="Q184" i="10"/>
  <c r="P184" i="10"/>
  <c r="O184" i="10"/>
  <c r="N184" i="10"/>
  <c r="M184" i="10"/>
  <c r="L184" i="10"/>
  <c r="U183" i="10"/>
  <c r="Q183" i="10"/>
  <c r="P183" i="10"/>
  <c r="O183" i="10"/>
  <c r="N183" i="10"/>
  <c r="M183" i="10"/>
  <c r="L183" i="10"/>
  <c r="U182" i="10"/>
  <c r="Q182" i="10"/>
  <c r="P182" i="10"/>
  <c r="O182" i="10"/>
  <c r="N182" i="10"/>
  <c r="M182" i="10"/>
  <c r="L182" i="10"/>
  <c r="U181" i="10"/>
  <c r="Q181" i="10"/>
  <c r="P181" i="10"/>
  <c r="O181" i="10"/>
  <c r="N181" i="10"/>
  <c r="M181" i="10"/>
  <c r="L181" i="10"/>
  <c r="U180" i="10"/>
  <c r="Q180" i="10"/>
  <c r="P180" i="10"/>
  <c r="O180" i="10"/>
  <c r="N180" i="10"/>
  <c r="M180" i="10"/>
  <c r="L180" i="10"/>
  <c r="U179" i="10"/>
  <c r="Q179" i="10"/>
  <c r="P179" i="10"/>
  <c r="O179" i="10"/>
  <c r="N179" i="10"/>
  <c r="M179" i="10"/>
  <c r="L179" i="10"/>
  <c r="U178" i="10"/>
  <c r="Q178" i="10"/>
  <c r="P178" i="10"/>
  <c r="O178" i="10"/>
  <c r="N178" i="10"/>
  <c r="M178" i="10"/>
  <c r="L178" i="10"/>
  <c r="U177" i="10"/>
  <c r="Q177" i="10"/>
  <c r="P177" i="10"/>
  <c r="O177" i="10"/>
  <c r="N177" i="10"/>
  <c r="M177" i="10"/>
  <c r="L177" i="10"/>
  <c r="U176" i="10"/>
  <c r="Q176" i="10"/>
  <c r="P176" i="10"/>
  <c r="O176" i="10"/>
  <c r="N176" i="10"/>
  <c r="M176" i="10"/>
  <c r="L176" i="10"/>
  <c r="U175" i="10"/>
  <c r="Q175" i="10"/>
  <c r="P175" i="10"/>
  <c r="O175" i="10"/>
  <c r="N175" i="10"/>
  <c r="M175" i="10"/>
  <c r="L175" i="10"/>
  <c r="U174" i="10"/>
  <c r="Q174" i="10"/>
  <c r="P174" i="10"/>
  <c r="O174" i="10"/>
  <c r="N174" i="10"/>
  <c r="M174" i="10"/>
  <c r="L174" i="10"/>
  <c r="U173" i="10"/>
  <c r="Q173" i="10"/>
  <c r="P173" i="10"/>
  <c r="O173" i="10"/>
  <c r="N173" i="10"/>
  <c r="M173" i="10"/>
  <c r="L173" i="10"/>
  <c r="U172" i="10"/>
  <c r="Q172" i="10"/>
  <c r="P172" i="10"/>
  <c r="O172" i="10"/>
  <c r="N172" i="10"/>
  <c r="M172" i="10"/>
  <c r="L172" i="10"/>
  <c r="U171" i="10"/>
  <c r="Q171" i="10"/>
  <c r="P171" i="10"/>
  <c r="O171" i="10"/>
  <c r="N171" i="10"/>
  <c r="M171" i="10"/>
  <c r="L171" i="10"/>
  <c r="U170" i="10"/>
  <c r="Q170" i="10"/>
  <c r="P170" i="10"/>
  <c r="O170" i="10"/>
  <c r="N170" i="10"/>
  <c r="M170" i="10"/>
  <c r="L170" i="10"/>
  <c r="U169" i="10"/>
  <c r="Q169" i="10"/>
  <c r="P169" i="10"/>
  <c r="O169" i="10"/>
  <c r="N169" i="10"/>
  <c r="M169" i="10"/>
  <c r="L169" i="10"/>
  <c r="U168" i="10"/>
  <c r="Q168" i="10"/>
  <c r="P168" i="10"/>
  <c r="O168" i="10"/>
  <c r="N168" i="10"/>
  <c r="M168" i="10"/>
  <c r="L168" i="10"/>
  <c r="U167" i="10"/>
  <c r="Q167" i="10"/>
  <c r="P167" i="10"/>
  <c r="O167" i="10"/>
  <c r="N167" i="10"/>
  <c r="M167" i="10"/>
  <c r="L167" i="10"/>
  <c r="U166" i="10"/>
  <c r="Q166" i="10"/>
  <c r="P166" i="10"/>
  <c r="O166" i="10"/>
  <c r="N166" i="10"/>
  <c r="M166" i="10"/>
  <c r="L166" i="10"/>
  <c r="U165" i="10"/>
  <c r="Q165" i="10"/>
  <c r="P165" i="10"/>
  <c r="O165" i="10"/>
  <c r="N165" i="10"/>
  <c r="M165" i="10"/>
  <c r="L165" i="10"/>
  <c r="U164" i="10"/>
  <c r="Q164" i="10"/>
  <c r="P164" i="10"/>
  <c r="O164" i="10"/>
  <c r="N164" i="10"/>
  <c r="M164" i="10"/>
  <c r="L164" i="10"/>
  <c r="U163" i="10"/>
  <c r="Q163" i="10"/>
  <c r="P163" i="10"/>
  <c r="O163" i="10"/>
  <c r="N163" i="10"/>
  <c r="M163" i="10"/>
  <c r="L163" i="10"/>
  <c r="U162" i="10"/>
  <c r="Q162" i="10"/>
  <c r="P162" i="10"/>
  <c r="O162" i="10"/>
  <c r="N162" i="10"/>
  <c r="M162" i="10"/>
  <c r="L162" i="10"/>
  <c r="U161" i="10"/>
  <c r="Q161" i="10"/>
  <c r="P161" i="10"/>
  <c r="O161" i="10"/>
  <c r="N161" i="10"/>
  <c r="M161" i="10"/>
  <c r="L161" i="10"/>
  <c r="U160" i="10"/>
  <c r="Q160" i="10"/>
  <c r="P160" i="10"/>
  <c r="O160" i="10"/>
  <c r="N160" i="10"/>
  <c r="M160" i="10"/>
  <c r="L160" i="10"/>
  <c r="U159" i="10"/>
  <c r="Q159" i="10"/>
  <c r="P159" i="10"/>
  <c r="O159" i="10"/>
  <c r="N159" i="10"/>
  <c r="M159" i="10"/>
  <c r="L159" i="10"/>
  <c r="U158" i="10"/>
  <c r="Q158" i="10"/>
  <c r="P158" i="10"/>
  <c r="O158" i="10"/>
  <c r="N158" i="10"/>
  <c r="M158" i="10"/>
  <c r="L158" i="10"/>
  <c r="U157" i="10"/>
  <c r="Q157" i="10"/>
  <c r="P157" i="10"/>
  <c r="O157" i="10"/>
  <c r="N157" i="10"/>
  <c r="M157" i="10"/>
  <c r="L157" i="10"/>
  <c r="U156" i="10"/>
  <c r="Q156" i="10"/>
  <c r="P156" i="10"/>
  <c r="O156" i="10"/>
  <c r="N156" i="10"/>
  <c r="M156" i="10"/>
  <c r="L156" i="10"/>
  <c r="U155" i="10"/>
  <c r="Q155" i="10"/>
  <c r="P155" i="10"/>
  <c r="O155" i="10"/>
  <c r="N155" i="10"/>
  <c r="M155" i="10"/>
  <c r="L155" i="10"/>
  <c r="U154" i="10"/>
  <c r="Q154" i="10"/>
  <c r="P154" i="10"/>
  <c r="O154" i="10"/>
  <c r="N154" i="10"/>
  <c r="M154" i="10"/>
  <c r="L154" i="10"/>
  <c r="U153" i="10"/>
  <c r="Q153" i="10"/>
  <c r="P153" i="10"/>
  <c r="O153" i="10"/>
  <c r="N153" i="10"/>
  <c r="M153" i="10"/>
  <c r="L153" i="10"/>
  <c r="U152" i="10"/>
  <c r="Q152" i="10"/>
  <c r="P152" i="10"/>
  <c r="O152" i="10"/>
  <c r="N152" i="10"/>
  <c r="M152" i="10"/>
  <c r="L152" i="10"/>
  <c r="U151" i="10"/>
  <c r="Q151" i="10"/>
  <c r="P151" i="10"/>
  <c r="O151" i="10"/>
  <c r="N151" i="10"/>
  <c r="M151" i="10"/>
  <c r="L151" i="10"/>
  <c r="U150" i="10"/>
  <c r="Q150" i="10"/>
  <c r="P150" i="10"/>
  <c r="O150" i="10"/>
  <c r="N150" i="10"/>
  <c r="M150" i="10"/>
  <c r="L150" i="10"/>
  <c r="U149" i="10"/>
  <c r="Q149" i="10"/>
  <c r="P149" i="10"/>
  <c r="O149" i="10"/>
  <c r="N149" i="10"/>
  <c r="M149" i="10"/>
  <c r="L149" i="10"/>
  <c r="U148" i="10"/>
  <c r="Q148" i="10"/>
  <c r="P148" i="10"/>
  <c r="O148" i="10"/>
  <c r="N148" i="10"/>
  <c r="M148" i="10"/>
  <c r="L148" i="10"/>
  <c r="U147" i="10"/>
  <c r="Q147" i="10"/>
  <c r="P147" i="10"/>
  <c r="O147" i="10"/>
  <c r="N147" i="10"/>
  <c r="M147" i="10"/>
  <c r="L147" i="10"/>
  <c r="U146" i="10"/>
  <c r="Q146" i="10"/>
  <c r="P146" i="10"/>
  <c r="O146" i="10"/>
  <c r="N146" i="10"/>
  <c r="M146" i="10"/>
  <c r="L146" i="10"/>
  <c r="U145" i="10"/>
  <c r="Q145" i="10"/>
  <c r="P145" i="10"/>
  <c r="O145" i="10"/>
  <c r="N145" i="10"/>
  <c r="M145" i="10"/>
  <c r="L145" i="10"/>
  <c r="U144" i="10"/>
  <c r="Q144" i="10"/>
  <c r="P144" i="10"/>
  <c r="O144" i="10"/>
  <c r="N144" i="10"/>
  <c r="M144" i="10"/>
  <c r="L144" i="10"/>
  <c r="U143" i="10"/>
  <c r="Q143" i="10"/>
  <c r="P143" i="10"/>
  <c r="O143" i="10"/>
  <c r="N143" i="10"/>
  <c r="M143" i="10"/>
  <c r="L143" i="10"/>
  <c r="U142" i="10"/>
  <c r="Q142" i="10"/>
  <c r="P142" i="10"/>
  <c r="O142" i="10"/>
  <c r="N142" i="10"/>
  <c r="M142" i="10"/>
  <c r="L142" i="10"/>
  <c r="U141" i="10"/>
  <c r="Q141" i="10"/>
  <c r="P141" i="10"/>
  <c r="O141" i="10"/>
  <c r="N141" i="10"/>
  <c r="M141" i="10"/>
  <c r="L141" i="10"/>
  <c r="U140" i="10"/>
  <c r="Q140" i="10"/>
  <c r="P140" i="10"/>
  <c r="O140" i="10"/>
  <c r="N140" i="10"/>
  <c r="M140" i="10"/>
  <c r="L140" i="10"/>
  <c r="U139" i="10"/>
  <c r="Q139" i="10"/>
  <c r="P139" i="10"/>
  <c r="O139" i="10"/>
  <c r="N139" i="10"/>
  <c r="M139" i="10"/>
  <c r="L139" i="10"/>
  <c r="U138" i="10"/>
  <c r="Q138" i="10"/>
  <c r="P138" i="10"/>
  <c r="O138" i="10"/>
  <c r="N138" i="10"/>
  <c r="M138" i="10"/>
  <c r="L138" i="10"/>
  <c r="U137" i="10"/>
  <c r="Q137" i="10"/>
  <c r="P137" i="10"/>
  <c r="O137" i="10"/>
  <c r="N137" i="10"/>
  <c r="M137" i="10"/>
  <c r="L137" i="10"/>
  <c r="U136" i="10"/>
  <c r="Q136" i="10"/>
  <c r="P136" i="10"/>
  <c r="O136" i="10"/>
  <c r="N136" i="10"/>
  <c r="M136" i="10"/>
  <c r="L136" i="10"/>
  <c r="U135" i="10"/>
  <c r="Q135" i="10"/>
  <c r="P135" i="10"/>
  <c r="O135" i="10"/>
  <c r="N135" i="10"/>
  <c r="M135" i="10"/>
  <c r="L135" i="10"/>
  <c r="U134" i="10"/>
  <c r="Q134" i="10"/>
  <c r="P134" i="10"/>
  <c r="O134" i="10"/>
  <c r="N134" i="10"/>
  <c r="M134" i="10"/>
  <c r="L134" i="10"/>
  <c r="U133" i="10"/>
  <c r="Q133" i="10"/>
  <c r="P133" i="10"/>
  <c r="O133" i="10"/>
  <c r="N133" i="10"/>
  <c r="M133" i="10"/>
  <c r="L133" i="10"/>
  <c r="U132" i="10"/>
  <c r="Q132" i="10"/>
  <c r="P132" i="10"/>
  <c r="O132" i="10"/>
  <c r="N132" i="10"/>
  <c r="M132" i="10"/>
  <c r="L132" i="10"/>
  <c r="U131" i="10"/>
  <c r="Q131" i="10"/>
  <c r="P131" i="10"/>
  <c r="O131" i="10"/>
  <c r="N131" i="10"/>
  <c r="M131" i="10"/>
  <c r="L131" i="10"/>
  <c r="U130" i="10"/>
  <c r="Q130" i="10"/>
  <c r="P130" i="10"/>
  <c r="O130" i="10"/>
  <c r="N130" i="10"/>
  <c r="M130" i="10"/>
  <c r="L130" i="10"/>
  <c r="U129" i="10"/>
  <c r="Q129" i="10"/>
  <c r="P129" i="10"/>
  <c r="O129" i="10"/>
  <c r="N129" i="10"/>
  <c r="M129" i="10"/>
  <c r="L129" i="10"/>
  <c r="U128" i="10"/>
  <c r="Q128" i="10"/>
  <c r="P128" i="10"/>
  <c r="O128" i="10"/>
  <c r="N128" i="10"/>
  <c r="M128" i="10"/>
  <c r="L128" i="10"/>
  <c r="U127" i="10"/>
  <c r="Q127" i="10"/>
  <c r="P127" i="10"/>
  <c r="O127" i="10"/>
  <c r="N127" i="10"/>
  <c r="M127" i="10"/>
  <c r="L127" i="10"/>
  <c r="U126" i="10"/>
  <c r="Q126" i="10"/>
  <c r="P126" i="10"/>
  <c r="O126" i="10"/>
  <c r="N126" i="10"/>
  <c r="M126" i="10"/>
  <c r="L126" i="10"/>
  <c r="U125" i="10"/>
  <c r="Q125" i="10"/>
  <c r="P125" i="10"/>
  <c r="O125" i="10"/>
  <c r="N125" i="10"/>
  <c r="M125" i="10"/>
  <c r="L125" i="10"/>
  <c r="U124" i="10"/>
  <c r="Q124" i="10"/>
  <c r="P124" i="10"/>
  <c r="O124" i="10"/>
  <c r="N124" i="10"/>
  <c r="M124" i="10"/>
  <c r="L124" i="10"/>
  <c r="U123" i="10"/>
  <c r="Q123" i="10"/>
  <c r="P123" i="10"/>
  <c r="O123" i="10"/>
  <c r="N123" i="10"/>
  <c r="M123" i="10"/>
  <c r="L123" i="10"/>
  <c r="U122" i="10"/>
  <c r="Q122" i="10"/>
  <c r="P122" i="10"/>
  <c r="O122" i="10"/>
  <c r="N122" i="10"/>
  <c r="M122" i="10"/>
  <c r="L122" i="10"/>
  <c r="U121" i="10"/>
  <c r="Q121" i="10"/>
  <c r="P121" i="10"/>
  <c r="O121" i="10"/>
  <c r="N121" i="10"/>
  <c r="M121" i="10"/>
  <c r="L121" i="10"/>
  <c r="U120" i="10"/>
  <c r="Q120" i="10"/>
  <c r="P120" i="10"/>
  <c r="O120" i="10"/>
  <c r="N120" i="10"/>
  <c r="M120" i="10"/>
  <c r="L120" i="10"/>
  <c r="U119" i="10"/>
  <c r="Q119" i="10"/>
  <c r="P119" i="10"/>
  <c r="O119" i="10"/>
  <c r="N119" i="10"/>
  <c r="M119" i="10"/>
  <c r="L119" i="10"/>
  <c r="U118" i="10"/>
  <c r="Q118" i="10"/>
  <c r="P118" i="10"/>
  <c r="O118" i="10"/>
  <c r="N118" i="10"/>
  <c r="M118" i="10"/>
  <c r="L118" i="10"/>
  <c r="U117" i="10"/>
  <c r="Q117" i="10"/>
  <c r="P117" i="10"/>
  <c r="O117" i="10"/>
  <c r="N117" i="10"/>
  <c r="M117" i="10"/>
  <c r="L117" i="10"/>
  <c r="U116" i="10"/>
  <c r="Q116" i="10"/>
  <c r="P116" i="10"/>
  <c r="O116" i="10"/>
  <c r="N116" i="10"/>
  <c r="M116" i="10"/>
  <c r="L116" i="10"/>
  <c r="U115" i="10"/>
  <c r="Q115" i="10"/>
  <c r="P115" i="10"/>
  <c r="O115" i="10"/>
  <c r="N115" i="10"/>
  <c r="M115" i="10"/>
  <c r="L115" i="10"/>
  <c r="U114" i="10"/>
  <c r="Q114" i="10"/>
  <c r="P114" i="10"/>
  <c r="O114" i="10"/>
  <c r="N114" i="10"/>
  <c r="M114" i="10"/>
  <c r="L114" i="10"/>
  <c r="U113" i="10"/>
  <c r="Q113" i="10"/>
  <c r="P113" i="10"/>
  <c r="O113" i="10"/>
  <c r="N113" i="10"/>
  <c r="M113" i="10"/>
  <c r="L113" i="10"/>
  <c r="U112" i="10"/>
  <c r="Q112" i="10"/>
  <c r="P112" i="10"/>
  <c r="O112" i="10"/>
  <c r="N112" i="10"/>
  <c r="M112" i="10"/>
  <c r="L112" i="10"/>
  <c r="U111" i="10"/>
  <c r="Q111" i="10"/>
  <c r="P111" i="10"/>
  <c r="O111" i="10"/>
  <c r="N111" i="10"/>
  <c r="M111" i="10"/>
  <c r="L111" i="10"/>
  <c r="U110" i="10"/>
  <c r="Q110" i="10"/>
  <c r="P110" i="10"/>
  <c r="O110" i="10"/>
  <c r="N110" i="10"/>
  <c r="M110" i="10"/>
  <c r="L110" i="10"/>
  <c r="U109" i="10"/>
  <c r="Q109" i="10"/>
  <c r="P109" i="10"/>
  <c r="O109" i="10"/>
  <c r="N109" i="10"/>
  <c r="M109" i="10"/>
  <c r="L109" i="10"/>
  <c r="U108" i="10"/>
  <c r="Q108" i="10"/>
  <c r="P108" i="10"/>
  <c r="O108" i="10"/>
  <c r="N108" i="10"/>
  <c r="M108" i="10"/>
  <c r="L108" i="10"/>
  <c r="U107" i="10"/>
  <c r="Q107" i="10"/>
  <c r="P107" i="10"/>
  <c r="O107" i="10"/>
  <c r="N107" i="10"/>
  <c r="M107" i="10"/>
  <c r="L107" i="10"/>
  <c r="U106" i="10"/>
  <c r="Q106" i="10"/>
  <c r="P106" i="10"/>
  <c r="O106" i="10"/>
  <c r="N106" i="10"/>
  <c r="M106" i="10"/>
  <c r="L106" i="10"/>
  <c r="U105" i="10"/>
  <c r="Q105" i="10"/>
  <c r="P105" i="10"/>
  <c r="O105" i="10"/>
  <c r="N105" i="10"/>
  <c r="M105" i="10"/>
  <c r="L105" i="10"/>
  <c r="U104" i="10"/>
  <c r="Q104" i="10"/>
  <c r="P104" i="10"/>
  <c r="O104" i="10"/>
  <c r="N104" i="10"/>
  <c r="M104" i="10"/>
  <c r="L104" i="10"/>
  <c r="U103" i="10"/>
  <c r="Q103" i="10"/>
  <c r="P103" i="10"/>
  <c r="O103" i="10"/>
  <c r="N103" i="10"/>
  <c r="M103" i="10"/>
  <c r="L103" i="10"/>
  <c r="U102" i="10"/>
  <c r="Q102" i="10"/>
  <c r="P102" i="10"/>
  <c r="O102" i="10"/>
  <c r="N102" i="10"/>
  <c r="M102" i="10"/>
  <c r="L102" i="10"/>
  <c r="U101" i="10"/>
  <c r="Q101" i="10"/>
  <c r="P101" i="10"/>
  <c r="O101" i="10"/>
  <c r="N101" i="10"/>
  <c r="M101" i="10"/>
  <c r="L101" i="10"/>
  <c r="U100" i="10"/>
  <c r="Q100" i="10"/>
  <c r="P100" i="10"/>
  <c r="O100" i="10"/>
  <c r="N100" i="10"/>
  <c r="M100" i="10"/>
  <c r="L100" i="10"/>
  <c r="U99" i="10"/>
  <c r="Q99" i="10"/>
  <c r="P99" i="10"/>
  <c r="O99" i="10"/>
  <c r="N99" i="10"/>
  <c r="M99" i="10"/>
  <c r="L99" i="10"/>
  <c r="U98" i="10"/>
  <c r="Q98" i="10"/>
  <c r="P98" i="10"/>
  <c r="O98" i="10"/>
  <c r="N98" i="10"/>
  <c r="M98" i="10"/>
  <c r="L98" i="10"/>
  <c r="U97" i="10"/>
  <c r="Q97" i="10"/>
  <c r="P97" i="10"/>
  <c r="O97" i="10"/>
  <c r="N97" i="10"/>
  <c r="M97" i="10"/>
  <c r="L97" i="10"/>
  <c r="U96" i="10"/>
  <c r="Q96" i="10"/>
  <c r="P96" i="10"/>
  <c r="O96" i="10"/>
  <c r="N96" i="10"/>
  <c r="M96" i="10"/>
  <c r="L96" i="10"/>
  <c r="U95" i="10"/>
  <c r="Q95" i="10"/>
  <c r="P95" i="10"/>
  <c r="O95" i="10"/>
  <c r="N95" i="10"/>
  <c r="M95" i="10"/>
  <c r="L95" i="10"/>
  <c r="U94" i="10"/>
  <c r="Q94" i="10"/>
  <c r="P94" i="10"/>
  <c r="O94" i="10"/>
  <c r="N94" i="10"/>
  <c r="M94" i="10"/>
  <c r="L94" i="10"/>
  <c r="U93" i="10"/>
  <c r="Q93" i="10"/>
  <c r="P93" i="10"/>
  <c r="O93" i="10"/>
  <c r="N93" i="10"/>
  <c r="M93" i="10"/>
  <c r="L93" i="10"/>
  <c r="U92" i="10"/>
  <c r="Q92" i="10"/>
  <c r="P92" i="10"/>
  <c r="O92" i="10"/>
  <c r="N92" i="10"/>
  <c r="M92" i="10"/>
  <c r="L92" i="10"/>
  <c r="U91" i="10"/>
  <c r="Q91" i="10"/>
  <c r="P91" i="10"/>
  <c r="O91" i="10"/>
  <c r="N91" i="10"/>
  <c r="M91" i="10"/>
  <c r="L91" i="10"/>
  <c r="U90" i="10"/>
  <c r="Q90" i="10"/>
  <c r="P90" i="10"/>
  <c r="O90" i="10"/>
  <c r="N90" i="10"/>
  <c r="M90" i="10"/>
  <c r="L90" i="10"/>
  <c r="U89" i="10"/>
  <c r="Q89" i="10"/>
  <c r="P89" i="10"/>
  <c r="O89" i="10"/>
  <c r="N89" i="10"/>
  <c r="M89" i="10"/>
  <c r="L89" i="10"/>
  <c r="U88" i="10"/>
  <c r="Q88" i="10"/>
  <c r="P88" i="10"/>
  <c r="O88" i="10"/>
  <c r="N88" i="10"/>
  <c r="M88" i="10"/>
  <c r="L88" i="10"/>
  <c r="U87" i="10"/>
  <c r="Q87" i="10"/>
  <c r="P87" i="10"/>
  <c r="O87" i="10"/>
  <c r="N87" i="10"/>
  <c r="M87" i="10"/>
  <c r="L87" i="10"/>
  <c r="U86" i="10"/>
  <c r="Q86" i="10"/>
  <c r="P86" i="10"/>
  <c r="O86" i="10"/>
  <c r="N86" i="10"/>
  <c r="M86" i="10"/>
  <c r="L86" i="10"/>
  <c r="U85" i="10"/>
  <c r="Q85" i="10"/>
  <c r="P85" i="10"/>
  <c r="O85" i="10"/>
  <c r="N85" i="10"/>
  <c r="M85" i="10"/>
  <c r="L85" i="10"/>
  <c r="U84" i="10"/>
  <c r="Q84" i="10"/>
  <c r="P84" i="10"/>
  <c r="O84" i="10"/>
  <c r="N84" i="10"/>
  <c r="M84" i="10"/>
  <c r="L84" i="10"/>
  <c r="U83" i="10"/>
  <c r="Q83" i="10"/>
  <c r="P83" i="10"/>
  <c r="O83" i="10"/>
  <c r="N83" i="10"/>
  <c r="M83" i="10"/>
  <c r="L83" i="10"/>
  <c r="U82" i="10"/>
  <c r="Q82" i="10"/>
  <c r="P82" i="10"/>
  <c r="O82" i="10"/>
  <c r="N82" i="10"/>
  <c r="M82" i="10"/>
  <c r="L82" i="10"/>
  <c r="U81" i="10"/>
  <c r="Q81" i="10"/>
  <c r="P81" i="10"/>
  <c r="O81" i="10"/>
  <c r="N81" i="10"/>
  <c r="M81" i="10"/>
  <c r="L81" i="10"/>
  <c r="U80" i="10"/>
  <c r="Q80" i="10"/>
  <c r="P80" i="10"/>
  <c r="O80" i="10"/>
  <c r="N80" i="10"/>
  <c r="M80" i="10"/>
  <c r="L80" i="10"/>
  <c r="U79" i="10"/>
  <c r="Q79" i="10"/>
  <c r="P79" i="10"/>
  <c r="O79" i="10"/>
  <c r="N79" i="10"/>
  <c r="M79" i="10"/>
  <c r="L79" i="10"/>
  <c r="U78" i="10"/>
  <c r="Q78" i="10"/>
  <c r="P78" i="10"/>
  <c r="O78" i="10"/>
  <c r="N78" i="10"/>
  <c r="M78" i="10"/>
  <c r="L78" i="10"/>
  <c r="U77" i="10"/>
  <c r="Q77" i="10"/>
  <c r="P77" i="10"/>
  <c r="O77" i="10"/>
  <c r="N77" i="10"/>
  <c r="M77" i="10"/>
  <c r="L77" i="10"/>
  <c r="U76" i="10"/>
  <c r="Q76" i="10"/>
  <c r="P76" i="10"/>
  <c r="O76" i="10"/>
  <c r="N76" i="10"/>
  <c r="M76" i="10"/>
  <c r="L76" i="10"/>
  <c r="U75" i="10"/>
  <c r="Q75" i="10"/>
  <c r="P75" i="10"/>
  <c r="O75" i="10"/>
  <c r="N75" i="10"/>
  <c r="M75" i="10"/>
  <c r="L75" i="10"/>
  <c r="U74" i="10"/>
  <c r="Q74" i="10"/>
  <c r="P74" i="10"/>
  <c r="O74" i="10"/>
  <c r="N74" i="10"/>
  <c r="M74" i="10"/>
  <c r="L74" i="10"/>
  <c r="U73" i="10"/>
  <c r="Q73" i="10"/>
  <c r="P73" i="10"/>
  <c r="O73" i="10"/>
  <c r="N73" i="10"/>
  <c r="M73" i="10"/>
  <c r="L73" i="10"/>
  <c r="U72" i="10"/>
  <c r="Q72" i="10"/>
  <c r="P72" i="10"/>
  <c r="O72" i="10"/>
  <c r="N72" i="10"/>
  <c r="M72" i="10"/>
  <c r="L72" i="10"/>
  <c r="U71" i="10"/>
  <c r="Q71" i="10"/>
  <c r="P71" i="10"/>
  <c r="O71" i="10"/>
  <c r="N71" i="10"/>
  <c r="M71" i="10"/>
  <c r="L71" i="10"/>
  <c r="U70" i="10"/>
  <c r="Q70" i="10"/>
  <c r="P70" i="10"/>
  <c r="O70" i="10"/>
  <c r="N70" i="10"/>
  <c r="M70" i="10"/>
  <c r="L70" i="10"/>
  <c r="U69" i="10"/>
  <c r="Q69" i="10"/>
  <c r="P69" i="10"/>
  <c r="O69" i="10"/>
  <c r="N69" i="10"/>
  <c r="M69" i="10"/>
  <c r="L69" i="10"/>
  <c r="U68" i="10"/>
  <c r="Q68" i="10"/>
  <c r="P68" i="10"/>
  <c r="O68" i="10"/>
  <c r="N68" i="10"/>
  <c r="M68" i="10"/>
  <c r="L68" i="10"/>
  <c r="U67" i="10"/>
  <c r="Q67" i="10"/>
  <c r="P67" i="10"/>
  <c r="O67" i="10"/>
  <c r="N67" i="10"/>
  <c r="M67" i="10"/>
  <c r="L67" i="10"/>
  <c r="U66" i="10"/>
  <c r="Q66" i="10"/>
  <c r="P66" i="10"/>
  <c r="O66" i="10"/>
  <c r="N66" i="10"/>
  <c r="M66" i="10"/>
  <c r="L66" i="10"/>
  <c r="U65" i="10"/>
  <c r="Q65" i="10"/>
  <c r="P65" i="10"/>
  <c r="O65" i="10"/>
  <c r="N65" i="10"/>
  <c r="M65" i="10"/>
  <c r="L65" i="10"/>
  <c r="U64" i="10"/>
  <c r="Q64" i="10"/>
  <c r="P64" i="10"/>
  <c r="O64" i="10"/>
  <c r="N64" i="10"/>
  <c r="M64" i="10"/>
  <c r="L64" i="10"/>
  <c r="U63" i="10"/>
  <c r="Q63" i="10"/>
  <c r="P63" i="10"/>
  <c r="O63" i="10"/>
  <c r="N63" i="10"/>
  <c r="M63" i="10"/>
  <c r="L63" i="10"/>
  <c r="U62" i="10"/>
  <c r="Q62" i="10"/>
  <c r="P62" i="10"/>
  <c r="O62" i="10"/>
  <c r="N62" i="10"/>
  <c r="M62" i="10"/>
  <c r="L62" i="10"/>
  <c r="U61" i="10"/>
  <c r="Q61" i="10"/>
  <c r="P61" i="10"/>
  <c r="O61" i="10"/>
  <c r="N61" i="10"/>
  <c r="M61" i="10"/>
  <c r="L61" i="10"/>
  <c r="U60" i="10"/>
  <c r="Q60" i="10"/>
  <c r="P60" i="10"/>
  <c r="O60" i="10"/>
  <c r="N60" i="10"/>
  <c r="M60" i="10"/>
  <c r="L60" i="10"/>
  <c r="U59" i="10"/>
  <c r="Q59" i="10"/>
  <c r="P59" i="10"/>
  <c r="O59" i="10"/>
  <c r="N59" i="10"/>
  <c r="M59" i="10"/>
  <c r="L59" i="10"/>
  <c r="U58" i="10"/>
  <c r="Q58" i="10"/>
  <c r="P58" i="10"/>
  <c r="O58" i="10"/>
  <c r="N58" i="10"/>
  <c r="M58" i="10"/>
  <c r="L58" i="10"/>
  <c r="U57" i="10"/>
  <c r="Q57" i="10"/>
  <c r="P57" i="10"/>
  <c r="O57" i="10"/>
  <c r="N57" i="10"/>
  <c r="M57" i="10"/>
  <c r="L57" i="10"/>
  <c r="U56" i="10"/>
  <c r="Q56" i="10"/>
  <c r="P56" i="10"/>
  <c r="O56" i="10"/>
  <c r="N56" i="10"/>
  <c r="M56" i="10"/>
  <c r="L56" i="10"/>
  <c r="U55" i="10"/>
  <c r="Q55" i="10"/>
  <c r="P55" i="10"/>
  <c r="O55" i="10"/>
  <c r="N55" i="10"/>
  <c r="M55" i="10"/>
  <c r="L55" i="10"/>
  <c r="U54" i="10"/>
  <c r="Q54" i="10"/>
  <c r="P54" i="10"/>
  <c r="O54" i="10"/>
  <c r="N54" i="10"/>
  <c r="M54" i="10"/>
  <c r="L54" i="10"/>
  <c r="U53" i="10"/>
  <c r="Q53" i="10"/>
  <c r="P53" i="10"/>
  <c r="O53" i="10"/>
  <c r="N53" i="10"/>
  <c r="M53" i="10"/>
  <c r="L53" i="10"/>
  <c r="U52" i="10"/>
  <c r="Q52" i="10"/>
  <c r="P52" i="10"/>
  <c r="O52" i="10"/>
  <c r="N52" i="10"/>
  <c r="M52" i="10"/>
  <c r="L52" i="10"/>
  <c r="U51" i="10"/>
  <c r="Q51" i="10"/>
  <c r="P51" i="10"/>
  <c r="O51" i="10"/>
  <c r="N51" i="10"/>
  <c r="M51" i="10"/>
  <c r="L51" i="10"/>
  <c r="U50" i="10"/>
  <c r="Q50" i="10"/>
  <c r="P50" i="10"/>
  <c r="O50" i="10"/>
  <c r="N50" i="10"/>
  <c r="M50" i="10"/>
  <c r="L50" i="10"/>
  <c r="U49" i="10"/>
  <c r="Q49" i="10"/>
  <c r="P49" i="10"/>
  <c r="O49" i="10"/>
  <c r="N49" i="10"/>
  <c r="M49" i="10"/>
  <c r="L49" i="10"/>
  <c r="U48" i="10"/>
  <c r="Q48" i="10"/>
  <c r="P48" i="10"/>
  <c r="O48" i="10"/>
  <c r="N48" i="10"/>
  <c r="M48" i="10"/>
  <c r="L48" i="10"/>
  <c r="U47" i="10"/>
  <c r="Q47" i="10"/>
  <c r="P47" i="10"/>
  <c r="O47" i="10"/>
  <c r="N47" i="10"/>
  <c r="M47" i="10"/>
  <c r="L47" i="10"/>
  <c r="U46" i="10"/>
  <c r="Q46" i="10"/>
  <c r="P46" i="10"/>
  <c r="O46" i="10"/>
  <c r="N46" i="10"/>
  <c r="M46" i="10"/>
  <c r="L46" i="10"/>
  <c r="U45" i="10"/>
  <c r="Q45" i="10"/>
  <c r="P45" i="10"/>
  <c r="O45" i="10"/>
  <c r="N45" i="10"/>
  <c r="M45" i="10"/>
  <c r="L45" i="10"/>
  <c r="U44" i="10"/>
  <c r="Q44" i="10"/>
  <c r="P44" i="10"/>
  <c r="O44" i="10"/>
  <c r="N44" i="10"/>
  <c r="M44" i="10"/>
  <c r="L44" i="10"/>
  <c r="U43" i="10"/>
  <c r="Q43" i="10"/>
  <c r="P43" i="10"/>
  <c r="O43" i="10"/>
  <c r="N43" i="10"/>
  <c r="M43" i="10"/>
  <c r="L43" i="10"/>
  <c r="U42" i="10"/>
  <c r="Q42" i="10"/>
  <c r="P42" i="10"/>
  <c r="O42" i="10"/>
  <c r="N42" i="10"/>
  <c r="M42" i="10"/>
  <c r="L42" i="10"/>
  <c r="U41" i="10"/>
  <c r="Q41" i="10"/>
  <c r="P41" i="10"/>
  <c r="O41" i="10"/>
  <c r="N41" i="10"/>
  <c r="M41" i="10"/>
  <c r="L41" i="10"/>
  <c r="U40" i="10"/>
  <c r="Q40" i="10"/>
  <c r="P40" i="10"/>
  <c r="O40" i="10"/>
  <c r="N40" i="10"/>
  <c r="M40" i="10"/>
  <c r="L40" i="10"/>
  <c r="U39" i="10"/>
  <c r="Q39" i="10"/>
  <c r="P39" i="10"/>
  <c r="O39" i="10"/>
  <c r="N39" i="10"/>
  <c r="M39" i="10"/>
  <c r="L39" i="10"/>
  <c r="U38" i="10"/>
  <c r="Q38" i="10"/>
  <c r="P38" i="10"/>
  <c r="O38" i="10"/>
  <c r="N38" i="10"/>
  <c r="M38" i="10"/>
  <c r="L38" i="10"/>
  <c r="U37" i="10"/>
  <c r="Q37" i="10"/>
  <c r="P37" i="10"/>
  <c r="O37" i="10"/>
  <c r="N37" i="10"/>
  <c r="M37" i="10"/>
  <c r="L37" i="10"/>
  <c r="U36" i="10"/>
  <c r="Q36" i="10"/>
  <c r="P36" i="10"/>
  <c r="O36" i="10"/>
  <c r="N36" i="10"/>
  <c r="M36" i="10"/>
  <c r="L36" i="10"/>
  <c r="U35" i="10"/>
  <c r="Q35" i="10"/>
  <c r="P35" i="10"/>
  <c r="O35" i="10"/>
  <c r="N35" i="10"/>
  <c r="M35" i="10"/>
  <c r="L35" i="10"/>
  <c r="U34" i="10"/>
  <c r="Q34" i="10"/>
  <c r="P34" i="10"/>
  <c r="O34" i="10"/>
  <c r="N34" i="10"/>
  <c r="M34" i="10"/>
  <c r="L34" i="10"/>
  <c r="U33" i="10"/>
  <c r="Q33" i="10"/>
  <c r="P33" i="10"/>
  <c r="O33" i="10"/>
  <c r="N33" i="10"/>
  <c r="M33" i="10"/>
  <c r="L33" i="10"/>
  <c r="U32" i="10"/>
  <c r="Q32" i="10"/>
  <c r="P32" i="10"/>
  <c r="O32" i="10"/>
  <c r="N32" i="10"/>
  <c r="M32" i="10"/>
  <c r="L32" i="10"/>
  <c r="U31" i="10"/>
  <c r="Q31" i="10"/>
  <c r="P31" i="10"/>
  <c r="O31" i="10"/>
  <c r="N31" i="10"/>
  <c r="M31" i="10"/>
  <c r="L31" i="10"/>
  <c r="U30" i="10"/>
  <c r="Q30" i="10"/>
  <c r="P30" i="10"/>
  <c r="O30" i="10"/>
  <c r="N30" i="10"/>
  <c r="M30" i="10"/>
  <c r="L30" i="10"/>
  <c r="U29" i="10"/>
  <c r="Q29" i="10"/>
  <c r="P29" i="10"/>
  <c r="O29" i="10"/>
  <c r="N29" i="10"/>
  <c r="M29" i="10"/>
  <c r="L29" i="10"/>
  <c r="U28" i="10"/>
  <c r="Q28" i="10"/>
  <c r="P28" i="10"/>
  <c r="O28" i="10"/>
  <c r="N28" i="10"/>
  <c r="M28" i="10"/>
  <c r="L28" i="10"/>
  <c r="U27" i="10"/>
  <c r="Q27" i="10"/>
  <c r="P27" i="10"/>
  <c r="O27" i="10"/>
  <c r="N27" i="10"/>
  <c r="M27" i="10"/>
  <c r="L27" i="10"/>
  <c r="U26" i="10"/>
  <c r="Q26" i="10"/>
  <c r="P26" i="10"/>
  <c r="O26" i="10"/>
  <c r="N26" i="10"/>
  <c r="M26" i="10"/>
  <c r="L26" i="10"/>
  <c r="U25" i="10"/>
  <c r="Q25" i="10"/>
  <c r="P25" i="10"/>
  <c r="O25" i="10"/>
  <c r="N25" i="10"/>
  <c r="M25" i="10"/>
  <c r="L25" i="10"/>
  <c r="U24" i="10"/>
  <c r="Q24" i="10"/>
  <c r="P24" i="10"/>
  <c r="O24" i="10"/>
  <c r="N24" i="10"/>
  <c r="M24" i="10"/>
  <c r="L24" i="10"/>
  <c r="U23" i="10"/>
  <c r="Q23" i="10"/>
  <c r="P23" i="10"/>
  <c r="O23" i="10"/>
  <c r="N23" i="10"/>
  <c r="M23" i="10"/>
  <c r="L23" i="10"/>
  <c r="U22" i="10"/>
  <c r="Q22" i="10"/>
  <c r="P22" i="10"/>
  <c r="O22" i="10"/>
  <c r="N22" i="10"/>
  <c r="M22" i="10"/>
  <c r="L22" i="10"/>
  <c r="U21" i="10"/>
  <c r="Q21" i="10"/>
  <c r="P21" i="10"/>
  <c r="O21" i="10"/>
  <c r="N21" i="10"/>
  <c r="M21" i="10"/>
  <c r="L21" i="10"/>
  <c r="U20" i="10"/>
  <c r="Q20" i="10"/>
  <c r="P20" i="10"/>
  <c r="O20" i="10"/>
  <c r="N20" i="10"/>
  <c r="M20" i="10"/>
  <c r="L20" i="10"/>
  <c r="U19" i="10"/>
  <c r="Q19" i="10"/>
  <c r="P19" i="10"/>
  <c r="O19" i="10"/>
  <c r="N19" i="10"/>
  <c r="M19" i="10"/>
  <c r="L19" i="10"/>
  <c r="U18" i="10"/>
  <c r="Q18" i="10"/>
  <c r="P18" i="10"/>
  <c r="O18" i="10"/>
  <c r="N18" i="10"/>
  <c r="M18" i="10"/>
  <c r="L18" i="10"/>
  <c r="U17" i="10"/>
  <c r="Q17" i="10"/>
  <c r="P17" i="10"/>
  <c r="O17" i="10"/>
  <c r="N17" i="10"/>
  <c r="M17" i="10"/>
  <c r="L17" i="10"/>
  <c r="U16" i="10"/>
  <c r="Q16" i="10"/>
  <c r="P16" i="10"/>
  <c r="O16" i="10"/>
  <c r="N16" i="10"/>
  <c r="M16" i="10"/>
  <c r="L16" i="10"/>
  <c r="U15" i="10"/>
  <c r="Q15" i="10"/>
  <c r="P15" i="10"/>
  <c r="O15" i="10"/>
  <c r="N15" i="10"/>
  <c r="M15" i="10"/>
  <c r="L15" i="10"/>
  <c r="U14" i="10"/>
  <c r="Q14" i="10"/>
  <c r="P14" i="10"/>
  <c r="O14" i="10"/>
  <c r="N14" i="10"/>
  <c r="M14" i="10"/>
  <c r="L14" i="10"/>
  <c r="U13" i="10"/>
  <c r="Q13" i="10"/>
  <c r="P13" i="10"/>
  <c r="O13" i="10"/>
  <c r="N13" i="10"/>
  <c r="M13" i="10"/>
  <c r="L13" i="10"/>
  <c r="U12" i="10"/>
  <c r="Q12" i="10"/>
  <c r="P12" i="10"/>
  <c r="O12" i="10"/>
  <c r="N12" i="10"/>
  <c r="M12" i="10"/>
  <c r="L12" i="10"/>
  <c r="U11" i="10"/>
  <c r="Q11" i="10"/>
  <c r="P11" i="10"/>
  <c r="O11" i="10"/>
  <c r="N11" i="10"/>
  <c r="M11" i="10"/>
  <c r="L11" i="10"/>
  <c r="U10" i="10"/>
  <c r="Q10" i="10"/>
  <c r="P10" i="10"/>
  <c r="O10" i="10"/>
  <c r="N10" i="10"/>
  <c r="M10" i="10"/>
  <c r="L10" i="10"/>
  <c r="U9" i="10"/>
  <c r="Q9" i="10"/>
  <c r="P9" i="10"/>
  <c r="O9" i="10"/>
  <c r="N9" i="10"/>
  <c r="M9" i="10"/>
  <c r="L9" i="10"/>
  <c r="U8" i="10"/>
  <c r="Q8" i="10"/>
  <c r="P8" i="10"/>
  <c r="O8" i="10"/>
  <c r="N8" i="10"/>
  <c r="M8" i="10"/>
  <c r="L8" i="10"/>
  <c r="U7" i="10"/>
  <c r="Q7" i="10"/>
  <c r="P7" i="10"/>
  <c r="O7" i="10"/>
  <c r="N7" i="10"/>
  <c r="M7" i="10"/>
  <c r="L7" i="10"/>
  <c r="U6" i="10"/>
  <c r="Q6" i="10"/>
  <c r="P6" i="10"/>
  <c r="O6" i="10"/>
  <c r="N6" i="10"/>
  <c r="M6" i="10"/>
  <c r="L6" i="10"/>
  <c r="U5" i="10"/>
  <c r="Q5" i="10"/>
  <c r="O5" i="10"/>
  <c r="N5" i="10"/>
  <c r="M5" i="10"/>
  <c r="L5" i="10"/>
  <c r="U4" i="10"/>
  <c r="Q4" i="10"/>
  <c r="O4" i="10"/>
  <c r="N4" i="10"/>
  <c r="M4" i="10"/>
  <c r="L4" i="10"/>
  <c r="U3" i="10"/>
  <c r="V3" i="10" s="1"/>
  <c r="Q3" i="10"/>
  <c r="P3" i="10"/>
  <c r="O3" i="10"/>
  <c r="N3" i="10"/>
  <c r="M3" i="10"/>
  <c r="L3" i="10"/>
  <c r="U2" i="10"/>
  <c r="Q2" i="10"/>
  <c r="P2" i="10"/>
  <c r="O2" i="10"/>
  <c r="N2" i="10"/>
  <c r="M2" i="10"/>
  <c r="L2" i="10"/>
  <c r="V362" i="10" l="1"/>
  <c r="V361" i="10"/>
  <c r="V360" i="10"/>
  <c r="V359" i="10"/>
  <c r="V358" i="10"/>
  <c r="V357" i="10"/>
  <c r="V356" i="10"/>
  <c r="V355" i="10"/>
  <c r="V354" i="10"/>
  <c r="V353" i="10"/>
  <c r="V352" i="10"/>
  <c r="V351" i="10"/>
  <c r="V350" i="10"/>
  <c r="V349" i="10"/>
  <c r="V348" i="10"/>
  <c r="V347" i="10"/>
  <c r="V346" i="10"/>
  <c r="V345" i="10"/>
  <c r="V344" i="10"/>
  <c r="V343" i="10"/>
  <c r="V342" i="10"/>
  <c r="V341" i="10"/>
  <c r="V340" i="10"/>
  <c r="V338" i="10"/>
  <c r="V336" i="10"/>
  <c r="V335" i="10"/>
  <c r="V334" i="10"/>
  <c r="V333" i="10"/>
  <c r="V332" i="10"/>
  <c r="V331" i="10"/>
  <c r="V330" i="10"/>
  <c r="V328" i="10"/>
  <c r="V327" i="10"/>
  <c r="V326" i="10"/>
  <c r="V325" i="10"/>
  <c r="V324" i="10"/>
  <c r="V323" i="10"/>
  <c r="V322" i="10"/>
  <c r="V321" i="10"/>
  <c r="V320" i="10"/>
  <c r="V319" i="10"/>
  <c r="V318" i="10"/>
  <c r="V317" i="10"/>
  <c r="V316" i="10"/>
  <c r="V315" i="10"/>
  <c r="V314" i="10"/>
  <c r="V313" i="10"/>
  <c r="V307" i="10"/>
  <c r="V306" i="10"/>
  <c r="V304" i="10"/>
  <c r="V303" i="10"/>
  <c r="V302" i="10"/>
  <c r="V301" i="10"/>
  <c r="V300" i="10"/>
  <c r="V299" i="10"/>
  <c r="V298" i="10"/>
  <c r="V297" i="10"/>
  <c r="V296" i="10"/>
  <c r="V295" i="10"/>
  <c r="V294" i="10"/>
  <c r="V290" i="10"/>
  <c r="V289" i="10"/>
  <c r="V286" i="10"/>
  <c r="V285" i="10"/>
  <c r="V282" i="10"/>
  <c r="V278" i="10"/>
  <c r="V275" i="10"/>
  <c r="V272" i="10"/>
  <c r="V268" i="10"/>
  <c r="V266" i="10"/>
  <c r="V263" i="10"/>
  <c r="V259" i="10"/>
  <c r="V255" i="10"/>
  <c r="V250" i="10"/>
  <c r="V247" i="10"/>
  <c r="V244" i="10"/>
  <c r="V241" i="10"/>
  <c r="V236" i="10"/>
  <c r="V232" i="10"/>
  <c r="V229" i="10"/>
  <c r="V226" i="10"/>
  <c r="V223" i="10"/>
  <c r="V217" i="10"/>
  <c r="V213" i="10"/>
  <c r="V164" i="10"/>
  <c r="V158" i="10"/>
  <c r="V142" i="10"/>
  <c r="V139" i="10"/>
  <c r="V136" i="10"/>
  <c r="V133" i="10"/>
  <c r="V128" i="10"/>
  <c r="V123" i="10"/>
  <c r="V118" i="10"/>
  <c r="V112" i="10"/>
  <c r="V104" i="10"/>
  <c r="V99" i="10"/>
  <c r="V93" i="10"/>
  <c r="V85" i="10"/>
  <c r="V79" i="10"/>
  <c r="V72" i="10"/>
  <c r="V60" i="10"/>
  <c r="V50" i="10"/>
  <c r="V45" i="10"/>
  <c r="V35" i="10"/>
  <c r="V30" i="10"/>
  <c r="V24" i="10"/>
  <c r="V14" i="10"/>
  <c r="V6" i="10"/>
  <c r="V310" i="10"/>
  <c r="V293" i="10"/>
  <c r="V288" i="10"/>
  <c r="V279" i="10"/>
  <c r="V276" i="10"/>
  <c r="V271" i="10"/>
  <c r="V267" i="10"/>
  <c r="V262" i="10"/>
  <c r="V260" i="10"/>
  <c r="V254" i="10"/>
  <c r="V252" i="10"/>
  <c r="V248" i="10"/>
  <c r="V245" i="10"/>
  <c r="V242" i="10"/>
  <c r="V239" i="10"/>
  <c r="V235" i="10"/>
  <c r="V233" i="10"/>
  <c r="V224" i="10"/>
  <c r="V216" i="10"/>
  <c r="V212" i="10"/>
  <c r="V166" i="10"/>
  <c r="V160" i="10"/>
  <c r="V154" i="10"/>
  <c r="V151" i="10"/>
  <c r="V148" i="10"/>
  <c r="V144" i="10"/>
  <c r="V140" i="10"/>
  <c r="V135" i="10"/>
  <c r="V131" i="10"/>
  <c r="V127" i="10"/>
  <c r="V122" i="10"/>
  <c r="V116" i="10"/>
  <c r="V110" i="10"/>
  <c r="V101" i="10"/>
  <c r="V92" i="10"/>
  <c r="V75" i="10"/>
  <c r="V69" i="10"/>
  <c r="V62" i="10"/>
  <c r="V53" i="10"/>
  <c r="V43" i="10"/>
  <c r="V36" i="10"/>
  <c r="V26" i="10"/>
  <c r="V13" i="10"/>
  <c r="V8" i="10"/>
  <c r="V308" i="10"/>
  <c r="V292" i="10"/>
  <c r="V287" i="10"/>
  <c r="V280" i="10"/>
  <c r="V277" i="10"/>
  <c r="V274" i="10"/>
  <c r="V270" i="10"/>
  <c r="V265" i="10"/>
  <c r="V261" i="10"/>
  <c r="V256" i="10"/>
  <c r="V251" i="10"/>
  <c r="V249" i="10"/>
  <c r="V246" i="10"/>
  <c r="V243" i="10"/>
  <c r="V238" i="10"/>
  <c r="V234" i="10"/>
  <c r="V231" i="10"/>
  <c r="V230" i="10"/>
  <c r="V225" i="10"/>
  <c r="V218" i="10"/>
  <c r="V214" i="10"/>
  <c r="V165" i="10"/>
  <c r="V161" i="10"/>
  <c r="V157" i="10"/>
  <c r="V153" i="10"/>
  <c r="V150" i="10"/>
  <c r="V147" i="10"/>
  <c r="V145" i="10"/>
  <c r="V141" i="10"/>
  <c r="V137" i="10"/>
  <c r="V132" i="10"/>
  <c r="V126" i="10"/>
  <c r="V121" i="10"/>
  <c r="V113" i="10"/>
  <c r="V108" i="10"/>
  <c r="V96" i="10"/>
  <c r="V89" i="10"/>
  <c r="V78" i="10"/>
  <c r="V71" i="10"/>
  <c r="V55" i="10"/>
  <c r="V46" i="10"/>
  <c r="V38" i="10"/>
  <c r="V31" i="10"/>
  <c r="V20" i="10"/>
  <c r="V16" i="10"/>
  <c r="V9" i="10"/>
  <c r="V156" i="10"/>
  <c r="V117" i="10"/>
  <c r="V107" i="10"/>
  <c r="V100" i="10"/>
  <c r="V94" i="10"/>
  <c r="V87" i="10"/>
  <c r="V73" i="10"/>
  <c r="V65" i="10"/>
  <c r="V56" i="10"/>
  <c r="V49" i="10"/>
  <c r="V42" i="10"/>
  <c r="V37" i="10"/>
  <c r="V29" i="10"/>
  <c r="V23" i="10"/>
  <c r="V12" i="10"/>
  <c r="V7" i="10"/>
  <c r="V162" i="10"/>
  <c r="V124" i="10"/>
  <c r="V114" i="10"/>
  <c r="V98" i="10"/>
  <c r="V86" i="10"/>
  <c r="V74" i="10"/>
  <c r="V67" i="10"/>
  <c r="V61" i="10"/>
  <c r="V51" i="10"/>
  <c r="V44" i="10"/>
  <c r="V40" i="10"/>
  <c r="V32" i="10"/>
  <c r="V25" i="10"/>
  <c r="V15" i="10"/>
  <c r="V5" i="10"/>
  <c r="V167" i="10"/>
  <c r="V129" i="10"/>
  <c r="V119" i="10"/>
  <c r="V111" i="10"/>
  <c r="V105" i="10"/>
  <c r="V97" i="10"/>
  <c r="V84" i="10"/>
  <c r="V76" i="10"/>
  <c r="V68" i="10"/>
  <c r="V59" i="10"/>
  <c r="V52" i="10"/>
  <c r="V47" i="10"/>
  <c r="V41" i="10"/>
  <c r="V34" i="10"/>
  <c r="V28" i="10"/>
  <c r="V22" i="10"/>
  <c r="V17" i="10"/>
  <c r="V211" i="10"/>
  <c r="V210" i="10"/>
  <c r="V208" i="10"/>
  <c r="V207" i="10"/>
  <c r="V206" i="10"/>
  <c r="V205" i="10"/>
  <c r="V203" i="10"/>
  <c r="V202" i="10"/>
  <c r="V201" i="10"/>
  <c r="V200" i="10"/>
  <c r="V199" i="10"/>
  <c r="V198" i="10"/>
  <c r="V197" i="10"/>
  <c r="V196" i="10"/>
  <c r="V194" i="10"/>
  <c r="V193" i="10"/>
  <c r="V192" i="10"/>
  <c r="V191" i="10"/>
  <c r="V189" i="10"/>
  <c r="V188" i="10"/>
  <c r="V187" i="10"/>
  <c r="V186" i="10"/>
  <c r="V185" i="10"/>
  <c r="V184" i="10"/>
  <c r="V183" i="10"/>
  <c r="V182" i="10"/>
  <c r="V181" i="10"/>
  <c r="V180" i="10"/>
  <c r="V179" i="10"/>
  <c r="V178" i="10"/>
  <c r="V177" i="10"/>
  <c r="V176" i="10"/>
  <c r="V175" i="10"/>
  <c r="V174" i="10"/>
  <c r="V173" i="10"/>
  <c r="V172" i="10"/>
  <c r="V171" i="10"/>
  <c r="V170" i="10"/>
  <c r="V169" i="10"/>
  <c r="V168" i="10"/>
  <c r="V163" i="10"/>
  <c r="V159" i="10"/>
  <c r="V155" i="10"/>
  <c r="V152" i="10"/>
  <c r="V149" i="10"/>
  <c r="V146" i="10"/>
  <c r="V143" i="10"/>
  <c r="V138" i="10"/>
  <c r="V134" i="10"/>
  <c r="V130" i="10"/>
  <c r="V125" i="10"/>
  <c r="V120" i="10"/>
  <c r="V115" i="10"/>
  <c r="V109" i="10"/>
  <c r="V102" i="10"/>
  <c r="V95" i="10"/>
  <c r="V83" i="10"/>
  <c r="V77" i="10"/>
  <c r="V70" i="10"/>
  <c r="V48" i="10"/>
  <c r="V39" i="10"/>
  <c r="V33" i="10"/>
  <c r="V27" i="10"/>
  <c r="V19" i="10"/>
  <c r="V11" i="10"/>
  <c r="V4" i="10"/>
  <c r="V311" i="10"/>
  <c r="V221" i="10"/>
  <c r="V64" i="10"/>
  <c r="V339" i="10"/>
  <c r="V337" i="10"/>
  <c r="V312" i="10"/>
  <c r="V309" i="10"/>
  <c r="V227" i="10"/>
  <c r="V219" i="10"/>
  <c r="V81" i="10"/>
  <c r="V329" i="10"/>
  <c r="V305" i="10"/>
  <c r="V291" i="10"/>
  <c r="V264" i="10"/>
  <c r="V220" i="10"/>
  <c r="V215" i="10"/>
  <c r="V106" i="10"/>
  <c r="V91" i="10"/>
  <c r="V63" i="10"/>
  <c r="V57" i="10"/>
  <c r="V258" i="10"/>
  <c r="V222" i="10"/>
  <c r="V204" i="10"/>
  <c r="V21" i="10"/>
  <c r="V228" i="10"/>
  <c r="V82" i="10"/>
  <c r="V54" i="10"/>
  <c r="V284" i="10"/>
  <c r="V283" i="10"/>
  <c r="V281" i="10"/>
  <c r="V273" i="10"/>
  <c r="V253" i="10"/>
  <c r="V269" i="10"/>
  <c r="V88" i="10"/>
  <c r="V240" i="10"/>
  <c r="V237" i="10"/>
  <c r="V209" i="10"/>
  <c r="V66" i="10"/>
  <c r="V18" i="10"/>
  <c r="V10" i="10"/>
  <c r="V195" i="10"/>
  <c r="V190" i="10"/>
  <c r="V103" i="10"/>
  <c r="V58" i="10"/>
  <c r="V257" i="10"/>
  <c r="V90" i="10"/>
  <c r="V80" i="10"/>
  <c r="V2" i="10"/>
  <c r="E365" i="10" l="1"/>
  <c r="D365" i="10"/>
  <c r="C365" i="10"/>
  <c r="B365" i="10"/>
  <c r="E364" i="10"/>
  <c r="D364" i="10"/>
  <c r="C364" i="10"/>
  <c r="B364" i="10"/>
  <c r="E363" i="10"/>
  <c r="D363" i="10"/>
  <c r="C363" i="10"/>
  <c r="B363" i="10"/>
  <c r="E362" i="10"/>
  <c r="D362" i="10"/>
  <c r="C362" i="10"/>
  <c r="B362" i="10"/>
  <c r="E361" i="10"/>
  <c r="D361" i="10"/>
  <c r="C361" i="10"/>
  <c r="B361" i="10"/>
  <c r="E360" i="10"/>
  <c r="D360" i="10"/>
  <c r="C360" i="10"/>
  <c r="B360" i="10"/>
  <c r="E359" i="10"/>
  <c r="D359" i="10"/>
  <c r="C359" i="10"/>
  <c r="B359" i="10"/>
  <c r="E358" i="10"/>
  <c r="D358" i="10"/>
  <c r="C358" i="10"/>
  <c r="B358" i="10"/>
  <c r="E357" i="10"/>
  <c r="D357" i="10"/>
  <c r="C357" i="10"/>
  <c r="B357" i="10"/>
  <c r="E324" i="10"/>
  <c r="D324" i="10"/>
  <c r="C324" i="10"/>
  <c r="B324" i="10"/>
  <c r="E323" i="10"/>
  <c r="D323" i="10"/>
  <c r="C323" i="10"/>
  <c r="B323" i="10"/>
  <c r="E322" i="10"/>
  <c r="D322" i="10"/>
  <c r="C322" i="10"/>
  <c r="B322" i="10"/>
  <c r="E321" i="10"/>
  <c r="D321" i="10"/>
  <c r="C321" i="10"/>
  <c r="B321" i="10"/>
  <c r="E320" i="10"/>
  <c r="D320" i="10"/>
  <c r="C320" i="10"/>
  <c r="B320" i="10"/>
  <c r="E319" i="10"/>
  <c r="D319" i="10"/>
  <c r="C319" i="10"/>
  <c r="B319" i="10"/>
  <c r="E318" i="10"/>
  <c r="D318" i="10"/>
  <c r="C318" i="10"/>
  <c r="B318" i="10"/>
  <c r="E317" i="10"/>
  <c r="D317" i="10"/>
  <c r="C317" i="10"/>
  <c r="B317" i="10"/>
  <c r="E316" i="10"/>
  <c r="D316" i="10"/>
  <c r="C316" i="10"/>
  <c r="B316" i="10"/>
  <c r="E315" i="10"/>
  <c r="D315" i="10"/>
  <c r="C315" i="10"/>
  <c r="B315" i="10"/>
  <c r="E314" i="10"/>
  <c r="D314" i="10"/>
  <c r="C314" i="10"/>
  <c r="B314" i="10"/>
  <c r="E313" i="10"/>
  <c r="D313" i="10"/>
  <c r="C313" i="10"/>
  <c r="B313" i="10"/>
  <c r="E312" i="10"/>
  <c r="D312" i="10"/>
  <c r="C312" i="10"/>
  <c r="B312" i="10"/>
  <c r="E311" i="10"/>
  <c r="D311" i="10"/>
  <c r="C311" i="10"/>
  <c r="B311" i="10"/>
  <c r="E310" i="10"/>
  <c r="D310" i="10"/>
  <c r="C310" i="10"/>
  <c r="B310" i="10"/>
  <c r="E309" i="10"/>
  <c r="D309" i="10"/>
  <c r="C309" i="10"/>
  <c r="B309" i="10"/>
  <c r="E308" i="10"/>
  <c r="D308" i="10"/>
  <c r="C308" i="10"/>
  <c r="B308" i="10"/>
  <c r="E307" i="10"/>
  <c r="D307" i="10"/>
  <c r="C307" i="10"/>
  <c r="B307" i="10"/>
  <c r="E306" i="10"/>
  <c r="D306" i="10"/>
  <c r="C306" i="10"/>
  <c r="B306" i="10"/>
  <c r="E305" i="10"/>
  <c r="D305" i="10"/>
  <c r="C305" i="10"/>
  <c r="B305" i="10"/>
  <c r="E304" i="10"/>
  <c r="D304" i="10"/>
  <c r="C304" i="10"/>
  <c r="B304" i="10"/>
  <c r="E303" i="10"/>
  <c r="D303" i="10"/>
  <c r="C303" i="10"/>
  <c r="B303" i="10"/>
  <c r="E302" i="10"/>
  <c r="D302" i="10"/>
  <c r="C302" i="10"/>
  <c r="B302" i="10"/>
  <c r="E301" i="10"/>
  <c r="D301" i="10"/>
  <c r="C301" i="10"/>
  <c r="B301" i="10"/>
  <c r="E300" i="10"/>
  <c r="D300" i="10"/>
  <c r="C300" i="10"/>
  <c r="B300" i="10"/>
  <c r="E299" i="10"/>
  <c r="D299" i="10"/>
  <c r="C299" i="10"/>
  <c r="B299" i="10"/>
  <c r="E298" i="10"/>
  <c r="D298" i="10"/>
  <c r="C298" i="10"/>
  <c r="B298" i="10"/>
  <c r="E297" i="10"/>
  <c r="D297" i="10"/>
  <c r="C297" i="10"/>
  <c r="B297" i="10"/>
  <c r="E296" i="10"/>
  <c r="D296" i="10"/>
  <c r="C296" i="10"/>
  <c r="B296" i="10"/>
  <c r="E295" i="10"/>
  <c r="D295" i="10"/>
  <c r="C295" i="10"/>
  <c r="B295" i="10"/>
  <c r="E294" i="10"/>
  <c r="D294" i="10"/>
  <c r="C294" i="10"/>
  <c r="B294" i="10"/>
  <c r="E293" i="10"/>
  <c r="D293" i="10"/>
  <c r="C293" i="10"/>
  <c r="B293" i="10"/>
  <c r="E292" i="10"/>
  <c r="D292" i="10"/>
  <c r="C292" i="10"/>
  <c r="B292" i="10"/>
  <c r="E291" i="10"/>
  <c r="D291" i="10"/>
  <c r="C291" i="10"/>
  <c r="B291" i="10"/>
  <c r="E290" i="10"/>
  <c r="D290" i="10"/>
  <c r="C290" i="10"/>
  <c r="B290" i="10"/>
  <c r="E289" i="10"/>
  <c r="D289" i="10"/>
  <c r="C289" i="10"/>
  <c r="B289" i="10"/>
  <c r="E288" i="10"/>
  <c r="D288" i="10"/>
  <c r="C288" i="10"/>
  <c r="B288" i="10"/>
  <c r="E287" i="10"/>
  <c r="D287" i="10"/>
  <c r="C287" i="10"/>
  <c r="B287" i="10"/>
  <c r="E286" i="10"/>
  <c r="D286" i="10"/>
  <c r="C286" i="10"/>
  <c r="B286" i="10"/>
  <c r="E285" i="10"/>
  <c r="D285" i="10"/>
  <c r="C285" i="10"/>
  <c r="B285" i="10"/>
  <c r="E284" i="10"/>
  <c r="D284" i="10"/>
  <c r="C284" i="10"/>
  <c r="B284" i="10"/>
  <c r="E283" i="10"/>
  <c r="B259" i="10"/>
  <c r="D258" i="10"/>
  <c r="E257" i="10"/>
  <c r="C257" i="10"/>
  <c r="E256" i="10"/>
  <c r="D256" i="10"/>
  <c r="E253" i="10"/>
  <c r="D253" i="10"/>
  <c r="B253" i="10"/>
  <c r="C252" i="10"/>
  <c r="E251" i="10"/>
  <c r="C251" i="10"/>
  <c r="E250" i="10"/>
  <c r="C250" i="10"/>
  <c r="E249" i="10"/>
  <c r="D249" i="10"/>
  <c r="B249" i="10"/>
  <c r="D248" i="10"/>
  <c r="B248" i="10"/>
  <c r="D247" i="10"/>
  <c r="E246" i="10"/>
  <c r="D246" i="10"/>
  <c r="B246" i="10"/>
  <c r="C245" i="10"/>
  <c r="D244" i="10"/>
  <c r="C244" i="10"/>
  <c r="E243" i="10"/>
  <c r="C243" i="10"/>
  <c r="E242" i="10"/>
  <c r="C242" i="10"/>
  <c r="E241" i="10"/>
  <c r="D241" i="10"/>
  <c r="B241" i="10"/>
  <c r="C240" i="10"/>
  <c r="B240" i="10"/>
  <c r="C239" i="10"/>
  <c r="E238" i="10"/>
  <c r="D238" i="10"/>
  <c r="E237" i="10"/>
  <c r="D237" i="10"/>
  <c r="B237" i="10"/>
  <c r="D236" i="10"/>
  <c r="B236" i="10"/>
  <c r="C235" i="10"/>
  <c r="E234" i="10"/>
  <c r="D234" i="10"/>
  <c r="B234" i="10"/>
  <c r="C233" i="10"/>
  <c r="E232" i="10"/>
  <c r="C232" i="10"/>
  <c r="E231" i="10"/>
  <c r="D231" i="10"/>
  <c r="B231" i="10"/>
  <c r="D230" i="10"/>
  <c r="B230" i="10"/>
  <c r="D229" i="10"/>
  <c r="B229" i="10"/>
  <c r="D228" i="10"/>
  <c r="E227" i="10"/>
  <c r="C227" i="10"/>
  <c r="E226" i="10"/>
  <c r="D226" i="10"/>
  <c r="B226" i="10"/>
  <c r="D225" i="10"/>
  <c r="B225" i="10"/>
  <c r="D224" i="10"/>
  <c r="C224" i="10"/>
  <c r="B224" i="10"/>
  <c r="E223" i="10"/>
  <c r="D223" i="10"/>
  <c r="C223" i="10"/>
  <c r="B223" i="10"/>
  <c r="E222" i="10"/>
  <c r="D222" i="10"/>
  <c r="C222" i="10"/>
  <c r="E221" i="10"/>
  <c r="C221" i="10"/>
  <c r="B221" i="10"/>
  <c r="D220" i="10"/>
  <c r="B220" i="10"/>
  <c r="D219" i="10"/>
  <c r="B219" i="10"/>
  <c r="D218" i="10"/>
  <c r="B218" i="10"/>
  <c r="C217" i="10"/>
  <c r="E216" i="10"/>
  <c r="D216" i="10"/>
  <c r="B216" i="10"/>
  <c r="D215" i="10"/>
  <c r="E214" i="10"/>
  <c r="D214" i="10"/>
  <c r="B214" i="10"/>
  <c r="D213" i="10"/>
  <c r="B213" i="10"/>
  <c r="D212" i="10"/>
  <c r="B212" i="10"/>
  <c r="C211" i="10"/>
  <c r="E210" i="10"/>
  <c r="D210" i="10"/>
  <c r="B210" i="10"/>
  <c r="C209" i="10"/>
  <c r="E208" i="10"/>
  <c r="D208" i="10"/>
  <c r="B208" i="10"/>
  <c r="D207" i="10"/>
  <c r="B207" i="10"/>
  <c r="C206" i="10"/>
  <c r="E205" i="10"/>
  <c r="C205" i="10"/>
  <c r="E204" i="10"/>
  <c r="C204" i="10"/>
  <c r="E203" i="10"/>
  <c r="D203" i="10"/>
  <c r="B203" i="10"/>
  <c r="D202" i="10"/>
  <c r="B202" i="10"/>
  <c r="C201" i="10"/>
  <c r="E200" i="10"/>
  <c r="C200" i="10"/>
  <c r="E199" i="10"/>
  <c r="C199" i="10"/>
  <c r="E198" i="10"/>
  <c r="C198" i="10"/>
  <c r="E197" i="10"/>
  <c r="D197" i="10"/>
  <c r="B197" i="10"/>
  <c r="D196" i="10"/>
  <c r="B196" i="10"/>
  <c r="C195" i="10"/>
  <c r="E194" i="10"/>
  <c r="D194" i="10"/>
  <c r="B194" i="10"/>
  <c r="D193" i="10"/>
  <c r="B193" i="10"/>
  <c r="D192" i="10"/>
  <c r="E191" i="10"/>
  <c r="D191" i="10"/>
  <c r="B191" i="10"/>
  <c r="C190" i="10"/>
  <c r="E189" i="10"/>
  <c r="D189" i="10"/>
  <c r="B189" i="10"/>
  <c r="C188" i="10"/>
  <c r="E187" i="10"/>
  <c r="C187" i="10"/>
  <c r="E186" i="10"/>
  <c r="D186" i="10"/>
  <c r="B186" i="10"/>
  <c r="D185" i="10"/>
  <c r="B185" i="10"/>
  <c r="C184" i="10"/>
  <c r="E183" i="10"/>
  <c r="C183" i="10"/>
  <c r="E182" i="10"/>
  <c r="C182" i="10"/>
  <c r="E181" i="10"/>
  <c r="D181" i="10"/>
  <c r="B181" i="10"/>
  <c r="D180" i="10"/>
  <c r="B180" i="10"/>
  <c r="D179" i="10"/>
  <c r="B179" i="10"/>
  <c r="D178" i="10"/>
  <c r="E177" i="10"/>
  <c r="D177" i="10"/>
  <c r="B177" i="10"/>
  <c r="D176" i="10"/>
  <c r="B176" i="10"/>
  <c r="C175" i="10"/>
  <c r="E174" i="10"/>
  <c r="C174" i="10"/>
  <c r="E173" i="10"/>
  <c r="C173" i="10"/>
  <c r="E172" i="10"/>
  <c r="D172" i="10"/>
  <c r="B172" i="10"/>
  <c r="D171" i="10"/>
  <c r="D168" i="10"/>
  <c r="B168" i="10"/>
  <c r="D167" i="10"/>
  <c r="B167" i="10"/>
  <c r="C166" i="10"/>
  <c r="E165" i="10"/>
  <c r="C165" i="10"/>
  <c r="E164" i="10"/>
  <c r="D164" i="10"/>
  <c r="B164" i="10"/>
  <c r="D163" i="10"/>
  <c r="B163" i="10"/>
  <c r="D162" i="10"/>
  <c r="B162" i="10"/>
  <c r="C161" i="10"/>
  <c r="E160" i="10"/>
  <c r="C160" i="10"/>
  <c r="B160" i="10"/>
  <c r="C159" i="10"/>
  <c r="E158" i="10"/>
  <c r="D158" i="10"/>
  <c r="B158" i="10"/>
  <c r="D157" i="10"/>
  <c r="B157" i="10"/>
  <c r="C156" i="10"/>
  <c r="E155" i="10"/>
  <c r="C155" i="10"/>
  <c r="E154" i="10"/>
  <c r="B154" i="10"/>
  <c r="D153" i="10"/>
  <c r="B153" i="10"/>
  <c r="C152" i="10"/>
  <c r="E151" i="10"/>
  <c r="C151" i="10"/>
  <c r="E150" i="10"/>
  <c r="C150" i="10"/>
  <c r="E149" i="10"/>
  <c r="D149" i="10"/>
  <c r="B149" i="10"/>
  <c r="C148" i="10"/>
  <c r="E147" i="10"/>
  <c r="D147" i="10"/>
  <c r="B147" i="10"/>
  <c r="D146" i="10"/>
  <c r="B146" i="10"/>
  <c r="C145" i="10"/>
  <c r="E144" i="10"/>
  <c r="C144" i="10"/>
  <c r="E143" i="10"/>
  <c r="D143" i="10"/>
  <c r="B143" i="10"/>
  <c r="C142" i="10"/>
  <c r="E141" i="10"/>
  <c r="D141" i="10"/>
  <c r="B141" i="10"/>
  <c r="C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D136" i="10"/>
  <c r="B136" i="10"/>
  <c r="D135" i="10"/>
  <c r="B135" i="10"/>
  <c r="D134" i="10"/>
  <c r="E133" i="10"/>
  <c r="C133" i="10"/>
  <c r="E132" i="10"/>
  <c r="D132" i="10"/>
  <c r="B132" i="10"/>
  <c r="D131" i="10"/>
  <c r="E130" i="10"/>
  <c r="D130" i="10"/>
  <c r="B130" i="10"/>
  <c r="D129" i="10"/>
  <c r="B129" i="10"/>
  <c r="C128" i="10"/>
  <c r="E127" i="10"/>
  <c r="C127" i="10"/>
  <c r="E126" i="10"/>
  <c r="D126" i="10"/>
  <c r="B126" i="10"/>
  <c r="D125" i="10"/>
  <c r="B125" i="10"/>
  <c r="C124" i="10"/>
  <c r="E123" i="10"/>
  <c r="C123" i="10"/>
  <c r="E122" i="10"/>
  <c r="C122" i="10"/>
  <c r="E121" i="10"/>
  <c r="C121" i="10"/>
  <c r="E120" i="10"/>
  <c r="C120" i="10"/>
  <c r="E119" i="10"/>
  <c r="C119" i="10"/>
  <c r="E118" i="10"/>
  <c r="D118" i="10"/>
  <c r="B118" i="10"/>
  <c r="C117" i="10"/>
  <c r="E116" i="10"/>
  <c r="C116" i="10"/>
  <c r="E115" i="10"/>
  <c r="C115" i="10"/>
  <c r="E114" i="10"/>
  <c r="D114" i="10"/>
  <c r="B114" i="10"/>
  <c r="D113" i="10"/>
  <c r="B113" i="10"/>
  <c r="D112" i="10"/>
  <c r="B112" i="10"/>
  <c r="C111" i="10"/>
  <c r="E110" i="10"/>
  <c r="C110" i="10"/>
  <c r="E109" i="10"/>
  <c r="C109" i="10"/>
  <c r="E108" i="10"/>
  <c r="D108" i="10"/>
  <c r="B108" i="10"/>
  <c r="D107" i="10"/>
  <c r="B107" i="10"/>
  <c r="D106" i="10"/>
  <c r="E105" i="10"/>
  <c r="D105" i="10"/>
  <c r="B105" i="10"/>
  <c r="D104" i="10"/>
  <c r="E103" i="10"/>
  <c r="D103" i="10"/>
  <c r="B103" i="10"/>
  <c r="D102" i="10"/>
  <c r="B102" i="10"/>
  <c r="D101" i="10"/>
  <c r="B101" i="10"/>
  <c r="D100" i="10"/>
  <c r="B100" i="10"/>
  <c r="D99" i="10"/>
  <c r="B99" i="10"/>
  <c r="C98" i="10"/>
  <c r="E97" i="10"/>
  <c r="C97" i="10"/>
  <c r="E96" i="10"/>
  <c r="C96" i="10"/>
  <c r="E95" i="10"/>
  <c r="C95" i="10"/>
  <c r="E94" i="10"/>
  <c r="D94" i="10"/>
  <c r="B94" i="10"/>
  <c r="D93" i="10"/>
  <c r="B93" i="10"/>
  <c r="C92" i="10"/>
  <c r="E91" i="10"/>
  <c r="C91" i="10"/>
  <c r="D90" i="10"/>
  <c r="B90" i="10"/>
  <c r="D89" i="10"/>
  <c r="B89" i="10"/>
  <c r="D88" i="10"/>
  <c r="B88" i="10"/>
  <c r="C87" i="10"/>
  <c r="E86" i="10"/>
  <c r="C86" i="10"/>
  <c r="E85" i="10"/>
  <c r="D85" i="10"/>
  <c r="B85" i="10"/>
  <c r="E76" i="10"/>
  <c r="C76" i="10"/>
  <c r="E75" i="10"/>
  <c r="C75" i="10"/>
  <c r="E74" i="10"/>
  <c r="C74" i="10"/>
  <c r="E73" i="10"/>
  <c r="C73" i="10"/>
  <c r="E72" i="10"/>
  <c r="C72" i="10"/>
  <c r="E71" i="10"/>
  <c r="D71" i="10"/>
  <c r="B71" i="10"/>
  <c r="C70" i="10"/>
  <c r="E69" i="10"/>
  <c r="C69" i="10"/>
  <c r="E68" i="10"/>
  <c r="C68" i="10"/>
  <c r="E67" i="10"/>
  <c r="C67" i="10"/>
  <c r="E66" i="10"/>
  <c r="D66" i="10"/>
  <c r="B66" i="10"/>
  <c r="D65" i="10"/>
  <c r="B65" i="10"/>
  <c r="D64" i="10"/>
  <c r="B64" i="10"/>
  <c r="C63" i="10"/>
  <c r="E62" i="10"/>
  <c r="C62" i="10"/>
  <c r="E61" i="10"/>
  <c r="D61" i="10"/>
  <c r="B61" i="10"/>
  <c r="C60" i="10"/>
  <c r="D46" i="10"/>
  <c r="E45" i="10"/>
  <c r="C45" i="10"/>
  <c r="E44" i="10"/>
  <c r="C44" i="10"/>
  <c r="E43" i="10"/>
  <c r="C43" i="10"/>
  <c r="E42" i="10"/>
  <c r="C42" i="10"/>
  <c r="E41" i="10"/>
  <c r="C41" i="10"/>
  <c r="E40" i="10"/>
  <c r="D40" i="10"/>
  <c r="B40" i="10"/>
  <c r="D39" i="10"/>
  <c r="B39" i="10"/>
  <c r="C38" i="10"/>
  <c r="E37" i="10"/>
  <c r="C37" i="10"/>
  <c r="E36" i="10"/>
  <c r="C36" i="10"/>
  <c r="E35" i="10"/>
  <c r="C35" i="10"/>
  <c r="E34" i="10"/>
  <c r="C34" i="10"/>
  <c r="E33" i="10"/>
  <c r="C33" i="10"/>
  <c r="E32" i="10"/>
  <c r="D32" i="10"/>
  <c r="B32" i="10"/>
  <c r="B31" i="10"/>
  <c r="C30" i="10"/>
  <c r="E29" i="10"/>
  <c r="C29" i="10"/>
  <c r="E28" i="10"/>
  <c r="D28" i="10"/>
  <c r="B28" i="10"/>
  <c r="C27" i="10"/>
  <c r="E26" i="10"/>
  <c r="C26" i="10"/>
  <c r="E25" i="10"/>
  <c r="D25" i="10"/>
  <c r="B25" i="10"/>
  <c r="C24" i="10"/>
  <c r="B24" i="10"/>
  <c r="C23" i="10"/>
  <c r="E22" i="10"/>
  <c r="C22" i="10"/>
  <c r="E21" i="10"/>
  <c r="C21" i="10"/>
  <c r="E20" i="10"/>
  <c r="C20" i="10"/>
  <c r="E19" i="10"/>
  <c r="C19" i="10"/>
  <c r="E18" i="10"/>
  <c r="D18" i="10"/>
  <c r="B18" i="10"/>
  <c r="D17" i="10"/>
  <c r="B17" i="10"/>
  <c r="D16" i="10"/>
  <c r="E15" i="10"/>
  <c r="C15" i="10"/>
  <c r="E14" i="10"/>
  <c r="D14" i="10"/>
  <c r="B14" i="10"/>
  <c r="D13" i="10"/>
  <c r="B13" i="10"/>
  <c r="D12" i="10"/>
  <c r="B12" i="10"/>
  <c r="D11" i="10"/>
  <c r="B11" i="10"/>
  <c r="D10" i="10"/>
  <c r="B10" i="10"/>
  <c r="C9" i="10"/>
  <c r="E8" i="10"/>
  <c r="C8" i="10"/>
  <c r="E7" i="10"/>
  <c r="C7" i="10"/>
  <c r="B7" i="10"/>
  <c r="C6" i="10"/>
  <c r="E5" i="10"/>
  <c r="D5" i="10"/>
  <c r="B5" i="10"/>
  <c r="D283" i="10"/>
  <c r="C283" i="10"/>
  <c r="B283" i="10"/>
  <c r="E282" i="10"/>
  <c r="D282" i="10"/>
  <c r="C282" i="10"/>
  <c r="B282" i="10"/>
  <c r="E281" i="10"/>
  <c r="D281" i="10"/>
  <c r="C281" i="10"/>
  <c r="B281" i="10"/>
  <c r="E280" i="10"/>
  <c r="D280" i="10"/>
  <c r="C280" i="10"/>
  <c r="B280" i="10"/>
  <c r="E279" i="10"/>
  <c r="D279" i="10"/>
  <c r="C279" i="10"/>
  <c r="B279" i="10"/>
  <c r="E278" i="10"/>
  <c r="D278" i="10"/>
  <c r="C278" i="10"/>
  <c r="B278" i="10"/>
  <c r="E277" i="10"/>
  <c r="D277" i="10"/>
  <c r="C277" i="10"/>
  <c r="B277" i="10"/>
  <c r="E276" i="10"/>
  <c r="D276" i="10"/>
  <c r="C276" i="10"/>
  <c r="B276" i="10"/>
  <c r="E275" i="10"/>
  <c r="D275" i="10"/>
  <c r="C275" i="10"/>
  <c r="B275" i="10"/>
  <c r="E274" i="10"/>
  <c r="D274" i="10"/>
  <c r="C274" i="10"/>
  <c r="B274" i="10"/>
  <c r="E273" i="10"/>
  <c r="D273" i="10"/>
  <c r="C273" i="10"/>
  <c r="B273" i="10"/>
  <c r="E272" i="10"/>
  <c r="D272" i="10"/>
  <c r="C272" i="10"/>
  <c r="B272" i="10"/>
  <c r="E271" i="10"/>
  <c r="D271" i="10"/>
  <c r="C271" i="10"/>
  <c r="B271" i="10"/>
  <c r="E270" i="10"/>
  <c r="D270" i="10"/>
  <c r="C270" i="10"/>
  <c r="B270" i="10"/>
  <c r="E269" i="10"/>
  <c r="D269" i="10"/>
  <c r="C269" i="10"/>
  <c r="B269" i="10"/>
  <c r="E268" i="10"/>
  <c r="D268" i="10"/>
  <c r="C268" i="10"/>
  <c r="B268" i="10"/>
  <c r="E267" i="10"/>
  <c r="D267" i="10"/>
  <c r="C267" i="10"/>
  <c r="B267" i="10"/>
  <c r="E266" i="10"/>
  <c r="D266" i="10"/>
  <c r="C266" i="10"/>
  <c r="B266" i="10"/>
  <c r="E265" i="10"/>
  <c r="D265" i="10"/>
  <c r="C265" i="10"/>
  <c r="B265" i="10"/>
  <c r="E264" i="10"/>
  <c r="D264" i="10"/>
  <c r="C264" i="10"/>
  <c r="B264" i="10"/>
  <c r="E263" i="10"/>
  <c r="D263" i="10"/>
  <c r="C263" i="10"/>
  <c r="B263" i="10"/>
  <c r="E262" i="10"/>
  <c r="D262" i="10"/>
  <c r="C262" i="10"/>
  <c r="B262" i="10"/>
  <c r="E261" i="10"/>
  <c r="D261" i="10"/>
  <c r="C261" i="10"/>
  <c r="B261" i="10"/>
  <c r="E260" i="10"/>
  <c r="D260" i="10"/>
  <c r="C260" i="10"/>
  <c r="B260" i="10"/>
  <c r="E259" i="10"/>
  <c r="D259" i="10"/>
  <c r="C259" i="10"/>
  <c r="E258" i="10"/>
  <c r="C258" i="10"/>
  <c r="B258" i="10"/>
  <c r="D257" i="10"/>
  <c r="B257" i="10"/>
  <c r="C256" i="10"/>
  <c r="B256" i="10"/>
  <c r="E255" i="10"/>
  <c r="D255" i="10"/>
  <c r="C255" i="10"/>
  <c r="B255" i="10"/>
  <c r="E254" i="10"/>
  <c r="D254" i="10"/>
  <c r="C254" i="10"/>
  <c r="B254" i="10"/>
  <c r="C253" i="10"/>
  <c r="E252" i="10"/>
  <c r="D252" i="10"/>
  <c r="B252" i="10"/>
  <c r="D251" i="10"/>
  <c r="B251" i="10"/>
  <c r="D250" i="10"/>
  <c r="B250" i="10"/>
  <c r="C249" i="10"/>
  <c r="E248" i="10"/>
  <c r="C248" i="10"/>
  <c r="E247" i="10"/>
  <c r="C247" i="10"/>
  <c r="B247" i="10"/>
  <c r="C246" i="10"/>
  <c r="E245" i="10"/>
  <c r="D245" i="10"/>
  <c r="B245" i="10"/>
  <c r="E244" i="10"/>
  <c r="B244" i="10"/>
  <c r="D243" i="10"/>
  <c r="B243" i="10"/>
  <c r="D242" i="10"/>
  <c r="B242" i="10"/>
  <c r="C241" i="10"/>
  <c r="E240" i="10"/>
  <c r="D240" i="10"/>
  <c r="E239" i="10"/>
  <c r="D239" i="10"/>
  <c r="B239" i="10"/>
  <c r="C238" i="10"/>
  <c r="B238" i="10"/>
  <c r="C237" i="10"/>
  <c r="E236" i="10"/>
  <c r="C236" i="10"/>
  <c r="E235" i="10"/>
  <c r="D235" i="10"/>
  <c r="B235" i="10"/>
  <c r="C234" i="10"/>
  <c r="E233" i="10"/>
  <c r="D233" i="10"/>
  <c r="B233" i="10"/>
  <c r="D232" i="10"/>
  <c r="B232" i="10"/>
  <c r="C231" i="10"/>
  <c r="E230" i="10"/>
  <c r="C230" i="10"/>
  <c r="E229" i="10"/>
  <c r="C229" i="10"/>
  <c r="E228" i="10"/>
  <c r="C228" i="10"/>
  <c r="B228" i="10"/>
  <c r="D227" i="10"/>
  <c r="B227" i="10"/>
  <c r="C226" i="10"/>
  <c r="E225" i="10"/>
  <c r="C225" i="10"/>
  <c r="E224" i="10"/>
  <c r="B222" i="10"/>
  <c r="D221" i="10"/>
  <c r="E220" i="10"/>
  <c r="C220" i="10"/>
  <c r="E219" i="10"/>
  <c r="C219" i="10"/>
  <c r="E218" i="10"/>
  <c r="C218" i="10"/>
  <c r="E217" i="10"/>
  <c r="D217" i="10"/>
  <c r="B217" i="10"/>
  <c r="C216" i="10"/>
  <c r="E215" i="10"/>
  <c r="C215" i="10"/>
  <c r="B215" i="10"/>
  <c r="C214" i="10"/>
  <c r="E213" i="10"/>
  <c r="C213" i="10"/>
  <c r="E212" i="10"/>
  <c r="C212" i="10"/>
  <c r="E211" i="10"/>
  <c r="D211" i="10"/>
  <c r="B211" i="10"/>
  <c r="C210" i="10"/>
  <c r="E209" i="10"/>
  <c r="D209" i="10"/>
  <c r="B209" i="10"/>
  <c r="C208" i="10"/>
  <c r="E207" i="10"/>
  <c r="C207" i="10"/>
  <c r="E206" i="10"/>
  <c r="D206" i="10"/>
  <c r="B206" i="10"/>
  <c r="D205" i="10"/>
  <c r="B205" i="10"/>
  <c r="D204" i="10"/>
  <c r="B204" i="10"/>
  <c r="C203" i="10"/>
  <c r="E202" i="10"/>
  <c r="C202" i="10"/>
  <c r="E201" i="10"/>
  <c r="D201" i="10"/>
  <c r="B201" i="10"/>
  <c r="D200" i="10"/>
  <c r="B200" i="10"/>
  <c r="D199" i="10"/>
  <c r="B199" i="10"/>
  <c r="D198" i="10"/>
  <c r="B198" i="10"/>
  <c r="C197" i="10"/>
  <c r="E196" i="10"/>
  <c r="C196" i="10"/>
  <c r="E195" i="10"/>
  <c r="D195" i="10"/>
  <c r="B195" i="10"/>
  <c r="C194" i="10"/>
  <c r="E193" i="10"/>
  <c r="C193" i="10"/>
  <c r="E192" i="10"/>
  <c r="C192" i="10"/>
  <c r="B192" i="10"/>
  <c r="C191" i="10"/>
  <c r="E190" i="10"/>
  <c r="D190" i="10"/>
  <c r="B190" i="10"/>
  <c r="C189" i="10"/>
  <c r="E188" i="10"/>
  <c r="D188" i="10"/>
  <c r="B188" i="10"/>
  <c r="D187" i="10"/>
  <c r="B187" i="10"/>
  <c r="C186" i="10"/>
  <c r="E185" i="10"/>
  <c r="C185" i="10"/>
  <c r="E184" i="10"/>
  <c r="D184" i="10"/>
  <c r="B184" i="10"/>
  <c r="D183" i="10"/>
  <c r="B183" i="10"/>
  <c r="D182" i="10"/>
  <c r="B182" i="10"/>
  <c r="C181" i="10"/>
  <c r="E180" i="10"/>
  <c r="C180" i="10"/>
  <c r="E179" i="10"/>
  <c r="C179" i="10"/>
  <c r="E178" i="10"/>
  <c r="C178" i="10"/>
  <c r="B178" i="10"/>
  <c r="C177" i="10"/>
  <c r="E176" i="10"/>
  <c r="C176" i="10"/>
  <c r="E175" i="10"/>
  <c r="D175" i="10"/>
  <c r="B175" i="10"/>
  <c r="D174" i="10"/>
  <c r="B174" i="10"/>
  <c r="D173" i="10"/>
  <c r="B173" i="10"/>
  <c r="C172" i="10"/>
  <c r="E171" i="10"/>
  <c r="C171" i="10"/>
  <c r="B171" i="10"/>
  <c r="E170" i="10"/>
  <c r="D170" i="10"/>
  <c r="C170" i="10"/>
  <c r="B170" i="10"/>
  <c r="E169" i="10"/>
  <c r="D169" i="10"/>
  <c r="C169" i="10"/>
  <c r="B169" i="10"/>
  <c r="E168" i="10"/>
  <c r="C168" i="10"/>
  <c r="E167" i="10"/>
  <c r="C167" i="10"/>
  <c r="E166" i="10"/>
  <c r="D166" i="10"/>
  <c r="B166" i="10"/>
  <c r="D165" i="10"/>
  <c r="B165" i="10"/>
  <c r="C164" i="10"/>
  <c r="E163" i="10"/>
  <c r="C163" i="10"/>
  <c r="E162" i="10"/>
  <c r="C162" i="10"/>
  <c r="E161" i="10"/>
  <c r="D161" i="10"/>
  <c r="B161" i="10"/>
  <c r="D160" i="10"/>
  <c r="E159" i="10"/>
  <c r="D159" i="10"/>
  <c r="B159" i="10"/>
  <c r="C158" i="10"/>
  <c r="E157" i="10"/>
  <c r="C157" i="10"/>
  <c r="E156" i="10"/>
  <c r="D156" i="10"/>
  <c r="B156" i="10"/>
  <c r="D155" i="10"/>
  <c r="B155" i="10"/>
  <c r="D154" i="10"/>
  <c r="C154" i="10"/>
  <c r="E153" i="10"/>
  <c r="C153" i="10"/>
  <c r="E152" i="10"/>
  <c r="D152" i="10"/>
  <c r="B152" i="10"/>
  <c r="D151" i="10"/>
  <c r="B151" i="10"/>
  <c r="D150" i="10"/>
  <c r="B150" i="10"/>
  <c r="C149" i="10"/>
  <c r="E148" i="10"/>
  <c r="D148" i="10"/>
  <c r="B148" i="10"/>
  <c r="C147" i="10"/>
  <c r="E146" i="10"/>
  <c r="C146" i="10"/>
  <c r="E145" i="10"/>
  <c r="D145" i="10"/>
  <c r="B145" i="10"/>
  <c r="D144" i="10"/>
  <c r="B144" i="10"/>
  <c r="C143" i="10"/>
  <c r="E142" i="10"/>
  <c r="D142" i="10"/>
  <c r="B142" i="10"/>
  <c r="C141" i="10"/>
  <c r="E140" i="10"/>
  <c r="D140" i="10"/>
  <c r="B140" i="10"/>
  <c r="E136" i="10"/>
  <c r="C136" i="10"/>
  <c r="E135" i="10"/>
  <c r="C135" i="10"/>
  <c r="E134" i="10"/>
  <c r="C134" i="10"/>
  <c r="B134" i="10"/>
  <c r="D133" i="10"/>
  <c r="B133" i="10"/>
  <c r="C132" i="10"/>
  <c r="E131" i="10"/>
  <c r="C131" i="10"/>
  <c r="B131" i="10"/>
  <c r="C130" i="10"/>
  <c r="E129" i="10"/>
  <c r="C129" i="10"/>
  <c r="E128" i="10"/>
  <c r="D128" i="10"/>
  <c r="B128" i="10"/>
  <c r="D127" i="10"/>
  <c r="B127" i="10"/>
  <c r="C126" i="10"/>
  <c r="E125" i="10"/>
  <c r="C125" i="10"/>
  <c r="E124" i="10"/>
  <c r="D124" i="10"/>
  <c r="B124" i="10"/>
  <c r="D123" i="10"/>
  <c r="B123" i="10"/>
  <c r="D122" i="10"/>
  <c r="B122" i="10"/>
  <c r="D121" i="10"/>
  <c r="B121" i="10"/>
  <c r="D120" i="10"/>
  <c r="B120" i="10"/>
  <c r="D119" i="10"/>
  <c r="B119" i="10"/>
  <c r="C118" i="10"/>
  <c r="E117" i="10"/>
  <c r="D117" i="10"/>
  <c r="B117" i="10"/>
  <c r="D116" i="10"/>
  <c r="B116" i="10"/>
  <c r="D115" i="10"/>
  <c r="B115" i="10"/>
  <c r="C114" i="10"/>
  <c r="E113" i="10"/>
  <c r="C113" i="10"/>
  <c r="E112" i="10"/>
  <c r="C112" i="10"/>
  <c r="E111" i="10"/>
  <c r="D111" i="10"/>
  <c r="B111" i="10"/>
  <c r="D110" i="10"/>
  <c r="B110" i="10"/>
  <c r="D109" i="10"/>
  <c r="B109" i="10"/>
  <c r="C108" i="10"/>
  <c r="E107" i="10"/>
  <c r="C107" i="10"/>
  <c r="E106" i="10"/>
  <c r="C106" i="10"/>
  <c r="B106" i="10"/>
  <c r="C105" i="10"/>
  <c r="E104" i="10"/>
  <c r="C104" i="10"/>
  <c r="B104" i="10"/>
  <c r="C103" i="10"/>
  <c r="E102" i="10"/>
  <c r="C102" i="10"/>
  <c r="E101" i="10"/>
  <c r="C101" i="10"/>
  <c r="E100" i="10"/>
  <c r="C100" i="10"/>
  <c r="E99" i="10"/>
  <c r="C99" i="10"/>
  <c r="E98" i="10"/>
  <c r="D98" i="10"/>
  <c r="B98" i="10"/>
  <c r="D97" i="10"/>
  <c r="B97" i="10"/>
  <c r="D96" i="10"/>
  <c r="B96" i="10"/>
  <c r="D95" i="10"/>
  <c r="B95" i="10"/>
  <c r="C94" i="10"/>
  <c r="E93" i="10"/>
  <c r="C93" i="10"/>
  <c r="E92" i="10"/>
  <c r="D92" i="10"/>
  <c r="B92" i="10"/>
  <c r="D91" i="10"/>
  <c r="B91" i="10"/>
  <c r="E90" i="10"/>
  <c r="C90" i="10"/>
  <c r="E89" i="10"/>
  <c r="C89" i="10"/>
  <c r="E88" i="10"/>
  <c r="C88" i="10"/>
  <c r="E87" i="10"/>
  <c r="D87" i="10"/>
  <c r="B87" i="10"/>
  <c r="D86" i="10"/>
  <c r="B86" i="10"/>
  <c r="C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D76" i="10"/>
  <c r="B76" i="10"/>
  <c r="D75" i="10"/>
  <c r="B75" i="10"/>
  <c r="D74" i="10"/>
  <c r="B74" i="10"/>
  <c r="D73" i="10"/>
  <c r="B73" i="10"/>
  <c r="D72" i="10"/>
  <c r="B72" i="10"/>
  <c r="C71" i="10"/>
  <c r="E70" i="10"/>
  <c r="D70" i="10"/>
  <c r="B70" i="10"/>
  <c r="D69" i="10"/>
  <c r="B69" i="10"/>
  <c r="D68" i="10"/>
  <c r="B68" i="10"/>
  <c r="D67" i="10"/>
  <c r="B67" i="10"/>
  <c r="C66" i="10"/>
  <c r="E65" i="10"/>
  <c r="C65" i="10"/>
  <c r="E64" i="10"/>
  <c r="C64" i="10"/>
  <c r="E63" i="10"/>
  <c r="D63" i="10"/>
  <c r="B63" i="10"/>
  <c r="D62" i="10"/>
  <c r="B62" i="10"/>
  <c r="C61" i="10"/>
  <c r="E60" i="10"/>
  <c r="D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C46" i="10"/>
  <c r="B46" i="10"/>
  <c r="D45" i="10"/>
  <c r="B45" i="10"/>
  <c r="D44" i="10"/>
  <c r="B44" i="10"/>
  <c r="D43" i="10"/>
  <c r="B43" i="10"/>
  <c r="D42" i="10"/>
  <c r="B42" i="10"/>
  <c r="D41" i="10"/>
  <c r="B41" i="10"/>
  <c r="C40" i="10"/>
  <c r="E39" i="10"/>
  <c r="C39" i="10"/>
  <c r="E38" i="10"/>
  <c r="D38" i="10"/>
  <c r="B38" i="10"/>
  <c r="D37" i="10"/>
  <c r="B37" i="10"/>
  <c r="D36" i="10"/>
  <c r="B36" i="10"/>
  <c r="D35" i="10"/>
  <c r="B35" i="10"/>
  <c r="D34" i="10"/>
  <c r="B34" i="10"/>
  <c r="D33" i="10"/>
  <c r="B33" i="10"/>
  <c r="C32" i="10"/>
  <c r="E31" i="10"/>
  <c r="D31" i="10"/>
  <c r="C31" i="10"/>
  <c r="E30" i="10"/>
  <c r="D30" i="10"/>
  <c r="B30" i="10"/>
  <c r="D29" i="10"/>
  <c r="B29" i="10"/>
  <c r="C28" i="10"/>
  <c r="E27" i="10"/>
  <c r="D27" i="10"/>
  <c r="B27" i="10"/>
  <c r="D26" i="10"/>
  <c r="B26" i="10"/>
  <c r="C25" i="10"/>
  <c r="E24" i="10"/>
  <c r="D24" i="10"/>
  <c r="E23" i="10"/>
  <c r="D23" i="10"/>
  <c r="B23" i="10"/>
  <c r="D22" i="10"/>
  <c r="B22" i="10"/>
  <c r="D21" i="10"/>
  <c r="B21" i="10"/>
  <c r="D20" i="10"/>
  <c r="B20" i="10"/>
  <c r="D19" i="10"/>
  <c r="B19" i="10"/>
  <c r="C18" i="10"/>
  <c r="E17" i="10"/>
  <c r="C17" i="10"/>
  <c r="E16" i="10"/>
  <c r="C16" i="10"/>
  <c r="B16" i="10"/>
  <c r="D15" i="10"/>
  <c r="B15" i="10"/>
  <c r="C14" i="10"/>
  <c r="E13" i="10"/>
  <c r="C13" i="10"/>
  <c r="E12" i="10"/>
  <c r="C12" i="10"/>
  <c r="E11" i="10"/>
  <c r="C11" i="10"/>
  <c r="E10" i="10"/>
  <c r="C10" i="10"/>
  <c r="E9" i="10"/>
  <c r="D9" i="10"/>
  <c r="B9" i="10"/>
  <c r="D8" i="10"/>
  <c r="B8" i="10"/>
  <c r="D7" i="10"/>
  <c r="E6" i="10"/>
  <c r="D6" i="10"/>
  <c r="B6" i="10"/>
  <c r="C5" i="10"/>
  <c r="E356" i="10"/>
  <c r="D356" i="10"/>
  <c r="C356" i="10"/>
  <c r="B356" i="10"/>
  <c r="E355" i="10"/>
  <c r="D355" i="10"/>
  <c r="C355" i="10"/>
  <c r="B355" i="10"/>
  <c r="E354" i="10"/>
  <c r="D354" i="10"/>
  <c r="C354" i="10"/>
  <c r="B354" i="10"/>
  <c r="E353" i="10"/>
  <c r="D353" i="10"/>
  <c r="C353" i="10"/>
  <c r="B353" i="10"/>
  <c r="E352" i="10"/>
  <c r="D352" i="10"/>
  <c r="C352" i="10"/>
  <c r="B352" i="10"/>
  <c r="E351" i="10"/>
  <c r="D351" i="10"/>
  <c r="C351" i="10"/>
  <c r="B351" i="10"/>
  <c r="E350" i="10"/>
  <c r="D350" i="10"/>
  <c r="C350" i="10"/>
  <c r="B350" i="10"/>
  <c r="E349" i="10"/>
  <c r="D349" i="10"/>
  <c r="C349" i="10"/>
  <c r="B349" i="10"/>
  <c r="E348" i="10"/>
  <c r="D348" i="10"/>
  <c r="C348" i="10"/>
  <c r="B348" i="10"/>
  <c r="E347" i="10"/>
  <c r="D347" i="10"/>
  <c r="C347" i="10"/>
  <c r="B347" i="10"/>
  <c r="E346" i="10"/>
  <c r="D346" i="10"/>
  <c r="C346" i="10"/>
  <c r="B346" i="10"/>
  <c r="E345" i="10"/>
  <c r="D345" i="10"/>
  <c r="C345" i="10"/>
  <c r="B345" i="10"/>
  <c r="E344" i="10"/>
  <c r="D344" i="10"/>
  <c r="C344" i="10"/>
  <c r="B344" i="10"/>
  <c r="E343" i="10"/>
  <c r="D343" i="10"/>
  <c r="C343" i="10"/>
  <c r="B343" i="10"/>
  <c r="E342" i="10"/>
  <c r="D342" i="10"/>
  <c r="C342" i="10"/>
  <c r="B342" i="10"/>
  <c r="E341" i="10"/>
  <c r="D341" i="10"/>
  <c r="C341" i="10"/>
  <c r="B341" i="10"/>
  <c r="E340" i="10"/>
  <c r="D340" i="10"/>
  <c r="C340" i="10"/>
  <c r="B340" i="10"/>
  <c r="E339" i="10"/>
  <c r="D339" i="10"/>
  <c r="C339" i="10"/>
  <c r="B339" i="10"/>
  <c r="E338" i="10"/>
  <c r="D338" i="10"/>
  <c r="C338" i="10"/>
  <c r="B338" i="10"/>
  <c r="E337" i="10"/>
  <c r="D337" i="10"/>
  <c r="C337" i="10"/>
  <c r="B337" i="10"/>
  <c r="E336" i="10"/>
  <c r="D336" i="10"/>
  <c r="C336" i="10"/>
  <c r="B336" i="10"/>
  <c r="E335" i="10"/>
  <c r="D335" i="10"/>
  <c r="C335" i="10"/>
  <c r="B335" i="10"/>
  <c r="E334" i="10"/>
  <c r="D334" i="10"/>
  <c r="C334" i="10"/>
  <c r="B334" i="10"/>
  <c r="E333" i="10"/>
  <c r="D333" i="10"/>
  <c r="C333" i="10"/>
  <c r="B333" i="10"/>
  <c r="E332" i="10"/>
  <c r="D332" i="10"/>
  <c r="C332" i="10"/>
  <c r="B332" i="10"/>
  <c r="E331" i="10"/>
  <c r="D331" i="10"/>
  <c r="C331" i="10"/>
  <c r="B331" i="10"/>
  <c r="E330" i="10"/>
  <c r="D330" i="10"/>
  <c r="C330" i="10"/>
  <c r="B330" i="10"/>
  <c r="E329" i="10"/>
  <c r="D329" i="10"/>
  <c r="C329" i="10"/>
  <c r="B329" i="10"/>
  <c r="E328" i="10"/>
  <c r="D328" i="10"/>
  <c r="C328" i="10"/>
  <c r="B328" i="10"/>
  <c r="E327" i="10"/>
  <c r="D327" i="10"/>
  <c r="C327" i="10"/>
  <c r="B327" i="10"/>
  <c r="E326" i="10"/>
  <c r="D326" i="10"/>
  <c r="C326" i="10"/>
  <c r="B326" i="10"/>
  <c r="E325" i="10"/>
  <c r="D325" i="10"/>
  <c r="C325" i="10"/>
  <c r="B325" i="10"/>
</calcChain>
</file>

<file path=xl/sharedStrings.xml><?xml version="1.0" encoding="utf-8"?>
<sst xmlns="http://schemas.openxmlformats.org/spreadsheetml/2006/main" count="11268" uniqueCount="886">
  <si>
    <t>STALZONE — справочник бартерных ресурсов</t>
  </si>
  <si>
    <t>№</t>
  </si>
  <si>
    <t>Бартерный ресурс</t>
  </si>
  <si>
    <t>Локация / локации добычи</t>
  </si>
  <si>
    <t>Болотный камень</t>
  </si>
  <si>
    <t>Болота</t>
  </si>
  <si>
    <t>Зеленая плесень</t>
  </si>
  <si>
    <t>Корень-вонючка</t>
  </si>
  <si>
    <t>Агрокомплекс «Колос»; Обочина; Свалка техники; Чёрные Ивы</t>
  </si>
  <si>
    <t>Срачник</t>
  </si>
  <si>
    <t>Остатки медной проволоки</t>
  </si>
  <si>
    <t>Агрокомплекс «Колос»; Свалка техники; Чёрные Ивы</t>
  </si>
  <si>
    <t>Рассольник</t>
  </si>
  <si>
    <t>Завод «Первомайский»; Лес; Яма</t>
  </si>
  <si>
    <t>Фрагмент данных «Альфа»</t>
  </si>
  <si>
    <t>Росток чернобыльской ромашки</t>
  </si>
  <si>
    <t>Остатки радиопередатчика</t>
  </si>
  <si>
    <t>Дурман-камень</t>
  </si>
  <si>
    <t>Могильник; Мёртвый город; Полесское; Путь дураков</t>
  </si>
  <si>
    <t>Северный мох</t>
  </si>
  <si>
    <t>Остатки аккумуляторов</t>
  </si>
  <si>
    <t>Фрагмент данных «Бета»</t>
  </si>
  <si>
    <t>Вещество 07270</t>
  </si>
  <si>
    <t>Барьер; Институт; Кузня-11; Лабиринт; Отражение; Приток; Серпантин; Тихая Заводь; Храмовая топь; Чёрный объезд; Шахты</t>
  </si>
  <si>
    <t>Рыжий папоротник</t>
  </si>
  <si>
    <t>Остатки пси-маячка</t>
  </si>
  <si>
    <t>Фрагмент данных «Гамма»</t>
  </si>
  <si>
    <t>Квантовая батарея</t>
  </si>
  <si>
    <t>Кузня-11; Приток; Тихая Заводь; Шахты</t>
  </si>
  <si>
    <t>Лимб</t>
  </si>
  <si>
    <t>Любеч-3</t>
  </si>
  <si>
    <t>Горьколистник</t>
  </si>
  <si>
    <t>Фрагмент данных «Лямбда»</t>
  </si>
  <si>
    <t>Аномальная батарея</t>
  </si>
  <si>
    <t>Лимбоплазма</t>
  </si>
  <si>
    <t>Аномальная сыворотка</t>
  </si>
  <si>
    <t>Особый ресурс</t>
  </si>
  <si>
    <t>Маячок группы Альфа</t>
  </si>
  <si>
    <t>Агрокомплекс «Колос»; Болота; Лес; Обочина; Свалка; Чёрные Ивы; Яма</t>
  </si>
  <si>
    <t>Маячок группы Бета</t>
  </si>
  <si>
    <t>Маячок группы Гамма</t>
  </si>
  <si>
    <t>Маячок группы Лямбда</t>
  </si>
  <si>
    <t>№ п/п</t>
  </si>
  <si>
    <t>Предмет</t>
  </si>
  <si>
    <t>Ранг</t>
  </si>
  <si>
    <t>Тип предмета</t>
  </si>
  <si>
    <t>Варианты бартера</t>
  </si>
  <si>
    <t>АК-15</t>
  </si>
  <si>
    <t>Мастер</t>
  </si>
  <si>
    <t>Автоматы</t>
  </si>
  <si>
    <t>Предложение №1</t>
  </si>
  <si>
    <t>Предложение №2</t>
  </si>
  <si>
    <t>Предложение №3</t>
  </si>
  <si>
    <t>Предложение №4</t>
  </si>
  <si>
    <t>АК-203</t>
  </si>
  <si>
    <t>HK G3A1</t>
  </si>
  <si>
    <t>Цена:</t>
  </si>
  <si>
    <t>FN F2000 Tactical</t>
  </si>
  <si>
    <t>FN F2000</t>
  </si>
  <si>
    <t>HK G36C</t>
  </si>
  <si>
    <t>K2C1</t>
  </si>
  <si>
    <t>K2</t>
  </si>
  <si>
    <t>А-545</t>
  </si>
  <si>
    <t>АЕК-971</t>
  </si>
  <si>
    <t>АМБ-17</t>
  </si>
  <si>
    <t>АС «Вал»</t>
  </si>
  <si>
    <t>KS-1</t>
  </si>
  <si>
    <t>SIG 516</t>
  </si>
  <si>
    <t>ВСС-М «Винторез»</t>
  </si>
  <si>
    <t>Снайперские винтовки</t>
  </si>
  <si>
    <t>ВСС «Винторез»</t>
  </si>
  <si>
    <t>СВД-М</t>
  </si>
  <si>
    <t>СВД-С</t>
  </si>
  <si>
    <t>СВУ</t>
  </si>
  <si>
    <t>L96A1</t>
  </si>
  <si>
    <t>M40A5</t>
  </si>
  <si>
    <t>Mk 14 EBR</t>
  </si>
  <si>
    <t>M1A FA</t>
  </si>
  <si>
    <t>ПКП «Печенег»</t>
  </si>
  <si>
    <t>Пулеметы</t>
  </si>
  <si>
    <t>Поношенный ПКП</t>
  </si>
  <si>
    <t>SIG MPX</t>
  </si>
  <si>
    <t>Пистолеты-пулеметы</t>
  </si>
  <si>
    <t>HK MP5</t>
  </si>
  <si>
    <t>TDI KRISS Vector</t>
  </si>
  <si>
    <t>FN P90</t>
  </si>
  <si>
    <t>Beretta Mx4 Storm</t>
  </si>
  <si>
    <t>ППК-20</t>
  </si>
  <si>
    <t>«Витязь-СН»</t>
  </si>
  <si>
    <t>СР-3М</t>
  </si>
  <si>
    <t>СР-3 «Вихрь»</t>
  </si>
  <si>
    <t>ОЦ-33 «Пернач»</t>
  </si>
  <si>
    <t>Пистолеты</t>
  </si>
  <si>
    <t>Glock 17</t>
  </si>
  <si>
    <t>Beretta 93R</t>
  </si>
  <si>
    <t>Desert Eagle Mark XIX</t>
  </si>
  <si>
    <t>Desert Eagle Mark VII</t>
  </si>
  <si>
    <t>Сайга-12</t>
  </si>
  <si>
    <t>Дробовики и ружья</t>
  </si>
  <si>
    <t>Сайга-12К</t>
  </si>
  <si>
    <t>Franchi SPAS-15</t>
  </si>
  <si>
    <t>Franchi SPAS-12</t>
  </si>
  <si>
    <t>MP-155 Ultima</t>
  </si>
  <si>
    <t>MP-153</t>
  </si>
  <si>
    <t>ТОЗ-84</t>
  </si>
  <si>
    <t>ТОЗ-57</t>
  </si>
  <si>
    <t>АШ-12</t>
  </si>
  <si>
    <t>ОЦ-14 «Гроза»</t>
  </si>
  <si>
    <t>Антитеррор</t>
  </si>
  <si>
    <t>Ближний бой</t>
  </si>
  <si>
    <t>Тактическая катана</t>
  </si>
  <si>
    <t>ВССК «Выхлоп»</t>
  </si>
  <si>
    <t>МЦ-558</t>
  </si>
  <si>
    <t>Кукри</t>
  </si>
  <si>
    <t>Мачете Survival SP8 Ontario</t>
  </si>
  <si>
    <t>РШ-12</t>
  </si>
  <si>
    <t>Colt Python</t>
  </si>
  <si>
    <t>Ветеран</t>
  </si>
  <si>
    <t>L85A1</t>
  </si>
  <si>
    <t>SIG SG 550</t>
  </si>
  <si>
    <t>L86A1</t>
  </si>
  <si>
    <t>Поношенный HK G3A1</t>
  </si>
  <si>
    <t>АН-94М «Абакан»</t>
  </si>
  <si>
    <t>АК-103</t>
  </si>
  <si>
    <t>АКМ «Тишина»</t>
  </si>
  <si>
    <t>LWRC M6</t>
  </si>
  <si>
    <t>Потертый K2</t>
  </si>
  <si>
    <t>СВД</t>
  </si>
  <si>
    <t>M1A</t>
  </si>
  <si>
    <t>Поношенная M40A5</t>
  </si>
  <si>
    <t>РПД</t>
  </si>
  <si>
    <t>РПК-74</t>
  </si>
  <si>
    <t>HK UMP45</t>
  </si>
  <si>
    <t>ПП-19 «Бизон-2-01»</t>
  </si>
  <si>
    <t>ПП-19-01 «Витязь»</t>
  </si>
  <si>
    <t>СР-2М «Вереск»</t>
  </si>
  <si>
    <t>MP-133</t>
  </si>
  <si>
    <t>M1014</t>
  </si>
  <si>
    <t>ТОЗ-55</t>
  </si>
  <si>
    <t>Protecta</t>
  </si>
  <si>
    <t>Поношенный L86A1</t>
  </si>
  <si>
    <t>Beretta 92FS</t>
  </si>
  <si>
    <t>SW1911</t>
  </si>
  <si>
    <t>АКМ</t>
  </si>
  <si>
    <t>АН-94 «Абакан»</t>
  </si>
  <si>
    <t>Поношенный SIG SG 550</t>
  </si>
  <si>
    <t>Поношенный L85A1</t>
  </si>
  <si>
    <t>M4A1</t>
  </si>
  <si>
    <t>Охотничий мачете</t>
  </si>
  <si>
    <t>ПП-2000</t>
  </si>
  <si>
    <t>АЕК-919К «Каштан»</t>
  </si>
  <si>
    <t>Spectre M4</t>
  </si>
  <si>
    <t>ТОЗ-34</t>
  </si>
  <si>
    <t>Winchester M70</t>
  </si>
  <si>
    <t>СВТ-40</t>
  </si>
  <si>
    <t>СКС-Т</t>
  </si>
  <si>
    <t>Mossberg 590A1</t>
  </si>
  <si>
    <t>ИЖ-81</t>
  </si>
  <si>
    <t>ОЦ-04</t>
  </si>
  <si>
    <t>Штык-нож M9</t>
  </si>
  <si>
    <t>Поношенный Colt Python</t>
  </si>
  <si>
    <t>Browning Hi-Power</t>
  </si>
  <si>
    <t>Walther P99</t>
  </si>
  <si>
    <t>Форт-12</t>
  </si>
  <si>
    <t>Тактический нож Ka-Bar BKR3</t>
  </si>
  <si>
    <t>Сталкер</t>
  </si>
  <si>
    <t>АК-74М</t>
  </si>
  <si>
    <t>M16A3</t>
  </si>
  <si>
    <t>«Гепард»</t>
  </si>
  <si>
    <t>БМ-16</t>
  </si>
  <si>
    <t>IMI Uzi</t>
  </si>
  <si>
    <t>Mossberg 500</t>
  </si>
  <si>
    <t>СКТ-40</t>
  </si>
  <si>
    <t>СКС</t>
  </si>
  <si>
    <t>Поношенный Winchester M70</t>
  </si>
  <si>
    <t>Охотничий нож</t>
  </si>
  <si>
    <t>Монтировка</t>
  </si>
  <si>
    <t>Glock Feldmesser 78</t>
  </si>
  <si>
    <t>Mauser C96</t>
  </si>
  <si>
    <t>Нож 6Х9</t>
  </si>
  <si>
    <t>Новичок</t>
  </si>
  <si>
    <t>ПП-91 «Кедр»</t>
  </si>
  <si>
    <t>Vz.68 Škorpion</t>
  </si>
  <si>
    <t>Обрез ТОЗ-34</t>
  </si>
  <si>
    <t>Shorty 590</t>
  </si>
  <si>
    <t>Винтовка Мосина</t>
  </si>
  <si>
    <t>АКС-74</t>
  </si>
  <si>
    <t>M16A2</t>
  </si>
  <si>
    <t>АКС-74У</t>
  </si>
  <si>
    <t>M16A1</t>
  </si>
  <si>
    <t>АКС чистильщика</t>
  </si>
  <si>
    <t>Расписка от Шамана</t>
  </si>
  <si>
    <t>Walther MPK</t>
  </si>
  <si>
    <t>Карабин Мосина</t>
  </si>
  <si>
    <t>Обрез БМ-16</t>
  </si>
  <si>
    <t>Winchester 1887</t>
  </si>
  <si>
    <t>ТТ</t>
  </si>
  <si>
    <t>Изделие 6Х4</t>
  </si>
  <si>
    <t>ПМ</t>
  </si>
  <si>
    <t>КО-1</t>
  </si>
  <si>
    <t>Молоток</t>
  </si>
  <si>
    <t>Сверхтяжелый бронекостюм «Апостол»</t>
  </si>
  <si>
    <t>Боевая броня</t>
  </si>
  <si>
    <t>Сверхтяжелый бронекостюм «Вождь»</t>
  </si>
  <si>
    <t>Сверхтяжелый бронекостюм «Гранит»</t>
  </si>
  <si>
    <t>Сверхтяжелый бронекостюм «Рейтар»</t>
  </si>
  <si>
    <t>Экзоброня «Гончий»</t>
  </si>
  <si>
    <t>Комбинированная броня</t>
  </si>
  <si>
    <t>Экзоброня «Каратель»</t>
  </si>
  <si>
    <t>Экзоброня «Миссионер»</t>
  </si>
  <si>
    <t>Экзоброня «Следак»</t>
  </si>
  <si>
    <t>Бронекостюм «Авангард»</t>
  </si>
  <si>
    <t>Бронекостюм «Прометей»</t>
  </si>
  <si>
    <t>Бронекостюм «Ронин»</t>
  </si>
  <si>
    <t>Бронекостюм «Храмовник»</t>
  </si>
  <si>
    <t>Комбинезон «Ковчег»</t>
  </si>
  <si>
    <t>Научная броня</t>
  </si>
  <si>
    <t>Комбинезон «Навигатор»</t>
  </si>
  <si>
    <t>Комбинезон «Орион»</t>
  </si>
  <si>
    <t>Комбинезон «Пересвет»</t>
  </si>
  <si>
    <t>Бронекостюм «Центурион»</t>
  </si>
  <si>
    <t>Тяжелый бронекостюм «Легионер»</t>
  </si>
  <si>
    <t>Экзоброня «Мул»</t>
  </si>
  <si>
    <t>Экзоброня «Самсон»</t>
  </si>
  <si>
    <t>Экзоброня «Туз»</t>
  </si>
  <si>
    <t>Экзоброня «Масть»</t>
  </si>
  <si>
    <t>Бронекостюм «Скиф-5»</t>
  </si>
  <si>
    <t>Бронекостюм «Скиф-4»</t>
  </si>
  <si>
    <t>УКАЗ АО-6 «Кочевник»</t>
  </si>
  <si>
    <t>УКАЗ АО-5 «Пилигрим»</t>
  </si>
  <si>
    <t>Комбинезон «Сатурн»</t>
  </si>
  <si>
    <t>Комбинезон «Уран»</t>
  </si>
  <si>
    <t>Комбинезон «Жнец»</t>
  </si>
  <si>
    <t>Экзоброня «Зверобой»</t>
  </si>
  <si>
    <t>Экзоброня «Егерь»</t>
  </si>
  <si>
    <t>Бронекостюм «Гоплит»</t>
  </si>
  <si>
    <t>Tяжелый бронекостюм «Громила»</t>
  </si>
  <si>
    <t>Тяжелый бронекостюм «Восход»</t>
  </si>
  <si>
    <t>Бронекостюм «Скиф-2м»</t>
  </si>
  <si>
    <t>УКАЗ АО-4 «Рейдер»</t>
  </si>
  <si>
    <t>КИМ-99М «Малахит»</t>
  </si>
  <si>
    <t>Бронекостюм «Ош»</t>
  </si>
  <si>
    <t>Бронекостюм «Ворса»</t>
  </si>
  <si>
    <t>Костюм АО-3 «Искатель»</t>
  </si>
  <si>
    <t>Костюм «Сокол»</t>
  </si>
  <si>
    <t>Костюм «Пересмешник»</t>
  </si>
  <si>
    <t>КИМ-99 «Янтарь»</t>
  </si>
  <si>
    <t>Бронекостюм «Страйкер»</t>
  </si>
  <si>
    <t>Костюм «Траппер»</t>
  </si>
  <si>
    <t>Костюм «Аврора-Б»</t>
  </si>
  <si>
    <t>Бандитский костюм с баллонами</t>
  </si>
  <si>
    <t>Костюм АО-2 «Странник»</t>
  </si>
  <si>
    <t>Костюм «Клептоман»</t>
  </si>
  <si>
    <t>Костюм «Грибник»</t>
  </si>
  <si>
    <t>Бронекостюм «Комбат-5М»</t>
  </si>
  <si>
    <t>Бронекостюм «Червь»</t>
  </si>
  <si>
    <t>ИП-4м</t>
  </si>
  <si>
    <t>Костюм «Псарь»</t>
  </si>
  <si>
    <t>Костюм «Аврора» с противогазом</t>
  </si>
  <si>
    <t>Бандитский костюм с противогазом</t>
  </si>
  <si>
    <t>Костюм «Скаут»</t>
  </si>
  <si>
    <t>Костюм «Горка-3»</t>
  </si>
  <si>
    <t>Куртка с бронежилетом</t>
  </si>
  <si>
    <t>Охотничий плащ</t>
  </si>
  <si>
    <t>Отмычка</t>
  </si>
  <si>
    <t>Старый ОЗК</t>
  </si>
  <si>
    <t>ДТК АШ-12</t>
  </si>
  <si>
    <t>Надульники и глушители</t>
  </si>
  <si>
    <t>Рукоятка для ОЦ-14 «Гроза»</t>
  </si>
  <si>
    <t>Глушитель АШ-12/МЦ-558</t>
  </si>
  <si>
    <t>Глушитель для ОЦ-14 «Гроза»</t>
  </si>
  <si>
    <t>Барабанный магазин Сайга-12</t>
  </si>
  <si>
    <t>Магазины</t>
  </si>
  <si>
    <t>Удлиненный ствол D-Eagle XIX</t>
  </si>
  <si>
    <t>Удлиненный ствол D-Eagle VII</t>
  </si>
  <si>
    <t>Барабанный магазин G3/M1A</t>
  </si>
  <si>
    <t>Магазин 7.62 пластиковый</t>
  </si>
  <si>
    <t>Барабанный магазин MPX</t>
  </si>
  <si>
    <t>Барабанный магазин X-5</t>
  </si>
  <si>
    <t>Увеличенный магазин АШ-12</t>
  </si>
  <si>
    <t>Увеличенный магазин ОЦ-14</t>
  </si>
  <si>
    <t>Увеличенный магазин для ВСС/Вал</t>
  </si>
  <si>
    <t>Магазин эргономичный для ВСС/Вал</t>
  </si>
  <si>
    <t>SPVV 7.62</t>
  </si>
  <si>
    <t>Увеличенный магазин «Кобра»</t>
  </si>
  <si>
    <t>ГП-25 «Костер»</t>
  </si>
  <si>
    <t>Другое</t>
  </si>
  <si>
    <t>M203</t>
  </si>
  <si>
    <t>Магазин 5.45</t>
  </si>
  <si>
    <t>Магазин 5.45 пластиковый</t>
  </si>
  <si>
    <t>Магазин 5.56 NATO STANAG</t>
  </si>
  <si>
    <t>Магазин EMAG</t>
  </si>
  <si>
    <t>Магазин MAG SG545</t>
  </si>
  <si>
    <t>Магазин 5.45 «Вафля»</t>
  </si>
  <si>
    <t>Магазин Magpul PMAG 7.62x39</t>
  </si>
  <si>
    <t>Магазин АКМ десантный</t>
  </si>
  <si>
    <t>Магазин PMAG GEN2 M2 MOE</t>
  </si>
  <si>
    <t>Магазин 5.56 Pufgun, черный</t>
  </si>
  <si>
    <t>Глушитель АТГ</t>
  </si>
  <si>
    <t>ПБС-1</t>
  </si>
  <si>
    <t>Глушитель KAC Style QD</t>
  </si>
  <si>
    <t>Глушитель SureFire SOCOM556-RC2</t>
  </si>
  <si>
    <t>Глушитель Osprey</t>
  </si>
  <si>
    <t>Глушитель SUPRA K-8 С.К.О.С.</t>
  </si>
  <si>
    <t>Имкас ПСУЗВ–11ТМ.12</t>
  </si>
  <si>
    <t>ПБС-4</t>
  </si>
  <si>
    <t>SIG Sauer SRD762Ti</t>
  </si>
  <si>
    <t>Глушитель SCAR-SD</t>
  </si>
  <si>
    <t>ДТК Цитадель 5.45</t>
  </si>
  <si>
    <t>SRVV MBR Jet</t>
  </si>
  <si>
    <t>Удлиненный ствол 9 мм</t>
  </si>
  <si>
    <t>Custom Guns Doncaster</t>
  </si>
  <si>
    <t>Bulletec ST-6012</t>
  </si>
  <si>
    <t>AlienTech 5.56</t>
  </si>
  <si>
    <t>GE-OCTO Gunethics</t>
  </si>
  <si>
    <t>Hi-Point Razor</t>
  </si>
  <si>
    <t>Jmac Customs RDC 4C 5.45</t>
  </si>
  <si>
    <t>PWS CQB 74</t>
  </si>
  <si>
    <t>Jmac Customs RDC 4C 7.62</t>
  </si>
  <si>
    <t>ДТК «Косой»</t>
  </si>
  <si>
    <t>Odin Works ATLAS 7.62x51</t>
  </si>
  <si>
    <t>SureFire Pro Comp 7.62x51</t>
  </si>
  <si>
    <t>Venom Tactical Antidote</t>
  </si>
  <si>
    <t>VG6 EPSILON 556 Muzzle Brake</t>
  </si>
  <si>
    <t>HK BLITZ 5.56</t>
  </si>
  <si>
    <t>VG6 EPSILON 762 Muzzle Brake</t>
  </si>
  <si>
    <t>Keeno Arms SHREWD 7.62x51</t>
  </si>
  <si>
    <t>Магазин 5.45 PMAG, черный</t>
  </si>
  <si>
    <t>Тактический блок Зенит «Перст-3»</t>
  </si>
  <si>
    <t>HQ ISSUE Low-Profile Laser Sight (красный лазер)</t>
  </si>
  <si>
    <t>РК-1</t>
  </si>
  <si>
    <t>Рукоятки</t>
  </si>
  <si>
    <t>РК-0</t>
  </si>
  <si>
    <t>Тактическая рукоятка Fortis SHIFT Vertical, черная</t>
  </si>
  <si>
    <t>FX PTKB FAB Defense</t>
  </si>
  <si>
    <t>Magpul RVG</t>
  </si>
  <si>
    <t>Вертикальная рукоятка Tapco</t>
  </si>
  <si>
    <t>Магазин 5.45 бакелитовый</t>
  </si>
  <si>
    <t>Магазин 5.56 NATO PMAG, черный</t>
  </si>
  <si>
    <t>Магазин 7.62 бакелитовый</t>
  </si>
  <si>
    <t>Прицел оптический Trijicon AccuPoint</t>
  </si>
  <si>
    <t>Прицелы</t>
  </si>
  <si>
    <t>АКМЛ</t>
  </si>
  <si>
    <t>Hera Arms CC Compensator</t>
  </si>
  <si>
    <t>Пламегаситель LoneWolf</t>
  </si>
  <si>
    <t>3 Port Mini Compensator</t>
  </si>
  <si>
    <t>Diamondhead Compensator</t>
  </si>
  <si>
    <t>CMMG SV Brake 7.62x51</t>
  </si>
  <si>
    <t>ДТК-1</t>
  </si>
  <si>
    <t>Spikes Tactical Dynacomp</t>
  </si>
  <si>
    <t>ДТК «Вихрь»</t>
  </si>
  <si>
    <t>Precision Armament M11 Severe Duty 7.62x51</t>
  </si>
  <si>
    <t>Тактическая рукоятка KAC Vertical Foregrip</t>
  </si>
  <si>
    <t>Вертикальная рукоятка ANG4</t>
  </si>
  <si>
    <t>Тактическая рукоятка Magpul AFG</t>
  </si>
  <si>
    <t>Лазерный целеуказатель «Клещ-2ПС»</t>
  </si>
  <si>
    <t>Прицел коллиматорный «Bering OPTICS»</t>
  </si>
  <si>
    <t>Прицел коллиматорный Trijicon</t>
  </si>
  <si>
    <t>Прицел коллиматорный Vortex</t>
  </si>
  <si>
    <t>Прицел оптический Elcan</t>
  </si>
  <si>
    <t>Прицел оптический Trijicon ACOG</t>
  </si>
  <si>
    <t>VR-09</t>
  </si>
  <si>
    <t>ДТК-2</t>
  </si>
  <si>
    <t>Пламегаситель AKademia Тьма</t>
  </si>
  <si>
    <t>MICRO BADGER</t>
  </si>
  <si>
    <t>Пламегаситель Noveske KX3</t>
  </si>
  <si>
    <t>Resistance Armament Compensator</t>
  </si>
  <si>
    <t>Прицел оптический Барс</t>
  </si>
  <si>
    <t>Прицел оптический ПОСП</t>
  </si>
  <si>
    <t>Прицел оптический ПСО</t>
  </si>
  <si>
    <t>Боковой кронштейн с планкой Пикатинни</t>
  </si>
  <si>
    <t>Цевья</t>
  </si>
  <si>
    <t>Повышающая RIS-планка</t>
  </si>
  <si>
    <t>Прицел коллиматорный «ПК-АС»</t>
  </si>
  <si>
    <t>Прицел коллиматорный Sig Sauer</t>
  </si>
  <si>
    <t>Прицел оптический Пилад 3.5х20</t>
  </si>
  <si>
    <t>Прицел оптический Elcan M145</t>
  </si>
  <si>
    <t>РК-5</t>
  </si>
  <si>
    <t>Рукоять переноса огня FMA DARK EARTH</t>
  </si>
  <si>
    <t>Тактическая рукоятка FMA TD Grip</t>
  </si>
  <si>
    <t>HQ ISSUE Mini Laser Sight (зеленый лазер)</t>
  </si>
  <si>
    <t>Увеличенный магазин Beretta</t>
  </si>
  <si>
    <t>Увеличенный магазин Colt</t>
  </si>
  <si>
    <t>Увеличенный магазин Browning</t>
  </si>
  <si>
    <t>Увеличенный магазин Форт-12</t>
  </si>
  <si>
    <t>Увеличенный магазин ПМ/ПБ</t>
  </si>
  <si>
    <t>Прицел оптический 1П77</t>
  </si>
  <si>
    <t>Направляющая RIS для дробовиков</t>
  </si>
  <si>
    <t>Прицел оптический Leupold</t>
  </si>
  <si>
    <t>Прицел коллиматорный BSA Reflex</t>
  </si>
  <si>
    <t>Прицел коллиматорный LaRue</t>
  </si>
  <si>
    <t>Прицел оптический SUSAT</t>
  </si>
  <si>
    <t>Прицел широкоугольный «Ракурс»</t>
  </si>
  <si>
    <t>Планка с базой Пикатинни</t>
  </si>
  <si>
    <t>Прицел коллиматорный «Валдай»</t>
  </si>
  <si>
    <t>Прицел коллиматорный «Кобра»</t>
  </si>
  <si>
    <t>Прицел коллиматорный EoTech</t>
  </si>
  <si>
    <t>Прицел оптический «Тюльпан»</t>
  </si>
  <si>
    <t>Прицел оптический ПУ для СВТ</t>
  </si>
  <si>
    <t>Прицел оптический ПУ на боковой кронштейн</t>
  </si>
  <si>
    <t>Контейнер «Берлога-6»</t>
  </si>
  <si>
    <t>Контейнеры</t>
  </si>
  <si>
    <t>Контейнер «Берлога-5У»</t>
  </si>
  <si>
    <t>Контейнер «Добытчик»</t>
  </si>
  <si>
    <t>Контейнер «Бочонок»</t>
  </si>
  <si>
    <t>Контейнер «Кега-УЭ»</t>
  </si>
  <si>
    <t>Контейнер «Улей»</t>
  </si>
  <si>
    <t>Контейнер «Сота-У»</t>
  </si>
  <si>
    <t>Контейнер «КСМ»</t>
  </si>
  <si>
    <t>Контейнер «КЗС-МУ»</t>
  </si>
  <si>
    <t>Рюкзак «Гроб»</t>
  </si>
  <si>
    <t>Рюкзаки</t>
  </si>
  <si>
    <t>Ягдташ</t>
  </si>
  <si>
    <t>Рюкзак Secret Valley 35</t>
  </si>
  <si>
    <t>Советский походный рюкзак</t>
  </si>
  <si>
    <t>Разгрузка ADR-WRBT</t>
  </si>
  <si>
    <t>Разгрузка Black Eagle Y-73</t>
  </si>
  <si>
    <t>Контейнер «Кега»</t>
  </si>
  <si>
    <t>Контейнер «Сота»</t>
  </si>
  <si>
    <t>Контейнер «Берлога-5»</t>
  </si>
  <si>
    <t>Рюкзак NPA</t>
  </si>
  <si>
    <t>Контейнер «КЗС-М»</t>
  </si>
  <si>
    <t>Штурмовой рюкзак Tri-Zip</t>
  </si>
  <si>
    <t>Подсумок Black Eagle B-33</t>
  </si>
  <si>
    <t>Поясная сумка PROTECT 3B</t>
  </si>
  <si>
    <t>Рюкзак MBSS</t>
  </si>
  <si>
    <t>Контейнер «КЗС-2У»</t>
  </si>
  <si>
    <t>Контейнер «Берлога-4У»</t>
  </si>
  <si>
    <t>Рюкзак «Хелбой-У»</t>
  </si>
  <si>
    <t>Контейнер «Кокон-У»</t>
  </si>
  <si>
    <t>Контейнер «Бидон-У»</t>
  </si>
  <si>
    <t>Спортивная сумка</t>
  </si>
  <si>
    <t>Контейнер «КЗС-2»</t>
  </si>
  <si>
    <t>Контейнер «Кокон»</t>
  </si>
  <si>
    <t>Рюкзак Errand Junior</t>
  </si>
  <si>
    <t>Контейнер «Берлога-4»</t>
  </si>
  <si>
    <t>Контейнер «Бидон»</t>
  </si>
  <si>
    <t>Рюкзак «Хелбой»</t>
  </si>
  <si>
    <t>Контейнер «КЗС-1У»</t>
  </si>
  <si>
    <t>Сумка-трансформер</t>
  </si>
  <si>
    <t>Вещмешок</t>
  </si>
  <si>
    <t>STALZONE — поиск по бартерному снаряжению</t>
  </si>
  <si>
    <t>Служебный индекс поиска</t>
  </si>
  <si>
    <t>Название</t>
  </si>
  <si>
    <t>Поиск по названию</t>
  </si>
  <si>
    <t>АК-203; HK G3A1</t>
  </si>
  <si>
    <t>Бартер оружие!A3</t>
  </si>
  <si>
    <t>FN F2000; HK G36C</t>
  </si>
  <si>
    <t>Бартер оружие!A10</t>
  </si>
  <si>
    <t>Бартер оружие!A31</t>
  </si>
  <si>
    <t>Бартер оружие!A38</t>
  </si>
  <si>
    <t>Бартер оружие!A45</t>
  </si>
  <si>
    <t>СВД-С; СВУ</t>
  </si>
  <si>
    <t>Бартер оружие!A52</t>
  </si>
  <si>
    <t>Бартер оружие!A59</t>
  </si>
  <si>
    <t>Бартер оружие!A66</t>
  </si>
  <si>
    <t>Бартер оружие!A73</t>
  </si>
  <si>
    <t>Бартер оружие!A80</t>
  </si>
  <si>
    <t>FN P90; Beretta Mx4 Storm</t>
  </si>
  <si>
    <t>Бартер оружие!A87</t>
  </si>
  <si>
    <t>Бартер оружие!A94</t>
  </si>
  <si>
    <t>Бартер оружие!A101</t>
  </si>
  <si>
    <t>Glock 17; Beretta 93R</t>
  </si>
  <si>
    <t>Бартер оружие!A108</t>
  </si>
  <si>
    <t>Бартер оружие!A115</t>
  </si>
  <si>
    <t>Бартер оружие!A122</t>
  </si>
  <si>
    <t>Бартер оружие!A129</t>
  </si>
  <si>
    <t>Бартер оружие!A136</t>
  </si>
  <si>
    <t>Бартер оружие!A143</t>
  </si>
  <si>
    <t>Бартер оружие!A150</t>
  </si>
  <si>
    <t>Бартер оружие!A157</t>
  </si>
  <si>
    <t>Бартер оружие!A164</t>
  </si>
  <si>
    <t>Бартер оружие!A171</t>
  </si>
  <si>
    <t>Бартер оружие!A178</t>
  </si>
  <si>
    <t>Бартер оружие!A185</t>
  </si>
  <si>
    <t>Бартер оружие!A192</t>
  </si>
  <si>
    <t>SIG SG 550; L86A1</t>
  </si>
  <si>
    <t>Бартер оружие!A199</t>
  </si>
  <si>
    <t>Бартер оружие!A206</t>
  </si>
  <si>
    <t>Бартер оружие!A213</t>
  </si>
  <si>
    <t>Бартер оружие!A220</t>
  </si>
  <si>
    <t>Бартер оружие!A227</t>
  </si>
  <si>
    <t>Бартер оружие!A234</t>
  </si>
  <si>
    <t>Бартер оружие!A241</t>
  </si>
  <si>
    <t>Бартер оружие!A248</t>
  </si>
  <si>
    <t>Бартер оружие!A255</t>
  </si>
  <si>
    <t>Бартер оружие!A262</t>
  </si>
  <si>
    <t>Бартер оружие!A269</t>
  </si>
  <si>
    <t>Бартер оружие!A276</t>
  </si>
  <si>
    <t>РПД; РПК-74</t>
  </si>
  <si>
    <t>Бартер оружие!A283</t>
  </si>
  <si>
    <t>Бартер оружие!A290</t>
  </si>
  <si>
    <t>Бартер оружие!A297</t>
  </si>
  <si>
    <t>Бартер оружие!A304</t>
  </si>
  <si>
    <t>Бартер оружие!A311</t>
  </si>
  <si>
    <t>Бартер оружие!A318</t>
  </si>
  <si>
    <t>Бартер оружие!A325</t>
  </si>
  <si>
    <t>Бартер оружие!A332</t>
  </si>
  <si>
    <t>Бартер оружие!A339</t>
  </si>
  <si>
    <t>Бартер оружие!A346</t>
  </si>
  <si>
    <t>Бартер оружие!A353</t>
  </si>
  <si>
    <t>Бартер оружие!A360</t>
  </si>
  <si>
    <t>Бартер оружие!A367</t>
  </si>
  <si>
    <t>Бартер оружие!A374</t>
  </si>
  <si>
    <t>Бартер оружие!A381</t>
  </si>
  <si>
    <t>Бартер оружие!A388</t>
  </si>
  <si>
    <t>Бартер оружие!A395</t>
  </si>
  <si>
    <t>Бартер оружие!A402</t>
  </si>
  <si>
    <t>Бартер оружие!A409</t>
  </si>
  <si>
    <t>Бартер оружие!A416</t>
  </si>
  <si>
    <t>АКМ; Поношенный SIG SG 550</t>
  </si>
  <si>
    <t>Бартер оружие!A423</t>
  </si>
  <si>
    <t>Бартер оружие!A430</t>
  </si>
  <si>
    <t>Бартер оружие!A437</t>
  </si>
  <si>
    <t>Бартер оружие!A444</t>
  </si>
  <si>
    <t>Бартер оружие!A451</t>
  </si>
  <si>
    <t>Бартер оружие!A458</t>
  </si>
  <si>
    <t>Бартер оружие!A465</t>
  </si>
  <si>
    <t>Бартер оружие!A472</t>
  </si>
  <si>
    <t>Бартер оружие!A479</t>
  </si>
  <si>
    <t>Бартер оружие!A486</t>
  </si>
  <si>
    <t>Бартер оружие!A493</t>
  </si>
  <si>
    <t>Бартер оружие!A500</t>
  </si>
  <si>
    <t>Бартер оружие!A507</t>
  </si>
  <si>
    <t>Бартер оружие!A514</t>
  </si>
  <si>
    <t>Бартер оружие!A521</t>
  </si>
  <si>
    <t>Бартер оружие!A528</t>
  </si>
  <si>
    <t>Бартер оружие!A535</t>
  </si>
  <si>
    <t>Бартер оружие!A542</t>
  </si>
  <si>
    <t>Бартер оружие!A549</t>
  </si>
  <si>
    <t>Бартер оружие!A556</t>
  </si>
  <si>
    <t>Бартер оружие!A563</t>
  </si>
  <si>
    <t>Walther P99; Форт-12</t>
  </si>
  <si>
    <t>Бартер оружие!A570</t>
  </si>
  <si>
    <t>Бартер оружие!A577</t>
  </si>
  <si>
    <t>Бартер оружие!A584</t>
  </si>
  <si>
    <t>Бартер оружие!A591</t>
  </si>
  <si>
    <t>Бартер оружие!A598</t>
  </si>
  <si>
    <t>Бартер оружие!A605</t>
  </si>
  <si>
    <t>Бартер оружие!A612</t>
  </si>
  <si>
    <t>Бартер оружие!A619</t>
  </si>
  <si>
    <t>Бартер оружие!A626</t>
  </si>
  <si>
    <t>Бартер оружие!A633</t>
  </si>
  <si>
    <t>Бартер оружие!A640</t>
  </si>
  <si>
    <t>Бартер оружие!A647</t>
  </si>
  <si>
    <t>Бартер оружие!A654</t>
  </si>
  <si>
    <t>Бартер оружие!A661</t>
  </si>
  <si>
    <t>Бартер оружие!A668</t>
  </si>
  <si>
    <t>Бартер оружие!A675</t>
  </si>
  <si>
    <t>Бартер оружие!A682</t>
  </si>
  <si>
    <t>Бартер оружие!A689</t>
  </si>
  <si>
    <t>Бартер оружие!A696</t>
  </si>
  <si>
    <t>Бартер оружие!A703</t>
  </si>
  <si>
    <t>Бартер оружие!A710</t>
  </si>
  <si>
    <t>Бартер оружие!A717</t>
  </si>
  <si>
    <t>Бартер оружие!A724</t>
  </si>
  <si>
    <t>Бартер оружие!A731</t>
  </si>
  <si>
    <t>Бартер оружие!A738</t>
  </si>
  <si>
    <t>Бартер оружие!A745</t>
  </si>
  <si>
    <t>Бартер оружие!A752</t>
  </si>
  <si>
    <t>Бартер оружие!A759</t>
  </si>
  <si>
    <t>Бартер оружие!A766</t>
  </si>
  <si>
    <t>Бартер оружие!A773</t>
  </si>
  <si>
    <t>Бартер оружие!A780</t>
  </si>
  <si>
    <t>Бартер оружие!A787</t>
  </si>
  <si>
    <t>Бартер оружие!A794</t>
  </si>
  <si>
    <t>Бартер оружие!A801</t>
  </si>
  <si>
    <t>Бартер оружие!A808</t>
  </si>
  <si>
    <t>Бартер оружие!A815</t>
  </si>
  <si>
    <t>Бартер оружие!A822</t>
  </si>
  <si>
    <t>Бартер оружие!A829</t>
  </si>
  <si>
    <t>Бартер оружие!A836</t>
  </si>
  <si>
    <t>Бартер оружие!A843</t>
  </si>
  <si>
    <t>Бартер оружие!A850</t>
  </si>
  <si>
    <t>Бартер оружие!A857</t>
  </si>
  <si>
    <t>Бартер оружие!A864</t>
  </si>
  <si>
    <t>Бартер оружие!A871</t>
  </si>
  <si>
    <t>Бартер оружие!A878</t>
  </si>
  <si>
    <t>Бартер оружие!A885</t>
  </si>
  <si>
    <t>Бартер оружие!A892</t>
  </si>
  <si>
    <t>Бартер броня!A3</t>
  </si>
  <si>
    <t>Бартер броня!A10</t>
  </si>
  <si>
    <t>Бартер броня!A17</t>
  </si>
  <si>
    <t>Бартер броня!A24</t>
  </si>
  <si>
    <t>Бартер броня!A31</t>
  </si>
  <si>
    <t>Бартер броня!A38</t>
  </si>
  <si>
    <t>Бартер броня!A45</t>
  </si>
  <si>
    <t>Бартер броня!A52</t>
  </si>
  <si>
    <t>Бартер броня!A59</t>
  </si>
  <si>
    <t>Бартер броня!A66</t>
  </si>
  <si>
    <t>Бартер броня!A73</t>
  </si>
  <si>
    <t>Бартер броня!A80</t>
  </si>
  <si>
    <t>Бартер броня!A87</t>
  </si>
  <si>
    <t>Бартер броня!A94</t>
  </si>
  <si>
    <t>Бартер броня!A101</t>
  </si>
  <si>
    <t>Бартер броня!A108</t>
  </si>
  <si>
    <t>Бартер броня!A115</t>
  </si>
  <si>
    <t>Бартер броня!A122</t>
  </si>
  <si>
    <t>Бартер броня!A129</t>
  </si>
  <si>
    <t>Бартер броня!A136</t>
  </si>
  <si>
    <t>Бартер броня!A143</t>
  </si>
  <si>
    <t>Комбинезон «Уран»; Комбинезон «Жнец»</t>
  </si>
  <si>
    <t>Бартер броня!A150</t>
  </si>
  <si>
    <t>Бартер броня!A157</t>
  </si>
  <si>
    <t>Бронекостюм «Гоплит»; Фракционный талон</t>
  </si>
  <si>
    <t>Бартер броня!A164</t>
  </si>
  <si>
    <t>Tяжелый бронекостюм «Громила»; Экзоброня «Самсон»; Фракционный талон</t>
  </si>
  <si>
    <t>Бартер броня!A171</t>
  </si>
  <si>
    <t>Тяжелый бронекостюм «Восход»; Экзоброня «Масть»; Фракционный талон</t>
  </si>
  <si>
    <t>Бартер броня!A178</t>
  </si>
  <si>
    <t>Бронекостюм «Скиф-2м»; Фракционный талон</t>
  </si>
  <si>
    <t>Бартер броня!A185</t>
  </si>
  <si>
    <t>УКАЗ АО-4 «Рейдер»; Фракционный талон</t>
  </si>
  <si>
    <t>Бартер броня!A192</t>
  </si>
  <si>
    <t>КИМ-99М «Малахит»; Комбинезон «Уран»; Фракционный талон</t>
  </si>
  <si>
    <t>Бартер броня!A199</t>
  </si>
  <si>
    <t>КИМ-99М «Малахит»; Комбинезон «Жнец»; Фракционный талон</t>
  </si>
  <si>
    <t>Бартер броня!A206</t>
  </si>
  <si>
    <t>Бронекостюм «Ош»; Фракционный талон</t>
  </si>
  <si>
    <t>Бартер броня!A213</t>
  </si>
  <si>
    <t>Бартер броня!A220</t>
  </si>
  <si>
    <t>Бартер броня!A227</t>
  </si>
  <si>
    <t>Костюм «Сокол»; Tяжелый бронекостюм «Громила»</t>
  </si>
  <si>
    <t>Бартер броня!A234</t>
  </si>
  <si>
    <t>Костюм «Пересмешник»; Тяжелый бронекостюм «Восход»</t>
  </si>
  <si>
    <t>Бартер броня!A241</t>
  </si>
  <si>
    <t>Бартер броня!A248</t>
  </si>
  <si>
    <t>Костюм «Сокол»; Костюм «Пересмешник»</t>
  </si>
  <si>
    <t>Бартер броня!A255</t>
  </si>
  <si>
    <t>Бартер броня!A262</t>
  </si>
  <si>
    <t>Бартер броня!A269</t>
  </si>
  <si>
    <t>Костюм «Аврора-Б»; Бандитский костюм с баллонами</t>
  </si>
  <si>
    <t>Бартер броня!A276</t>
  </si>
  <si>
    <t>Бартер броня!A283</t>
  </si>
  <si>
    <t>Бартер броня!A290</t>
  </si>
  <si>
    <t>Бартер броня!A297</t>
  </si>
  <si>
    <t>Бронекостюм «Комбат-5М»; Бронекостюм «Червь»</t>
  </si>
  <si>
    <t>Бартер броня!A304</t>
  </si>
  <si>
    <t>ИП-4м; Костюм «Аврора-Б»</t>
  </si>
  <si>
    <t>Бартер броня!A311</t>
  </si>
  <si>
    <t>Бартер броня!A318</t>
  </si>
  <si>
    <t>Бартер броня!A325</t>
  </si>
  <si>
    <t>Бартер броня!A332</t>
  </si>
  <si>
    <t>Бартер броня!A339</t>
  </si>
  <si>
    <t>Бартер броня!A346</t>
  </si>
  <si>
    <t>Бартер броня!A353</t>
  </si>
  <si>
    <t>Бартер броня!A360</t>
  </si>
  <si>
    <t>Бартер броня!A367</t>
  </si>
  <si>
    <t>Бартер броня!A374</t>
  </si>
  <si>
    <t>Бартер броня!A381</t>
  </si>
  <si>
    <t>Бартер броня!A388</t>
  </si>
  <si>
    <t>Бартер броня!A395</t>
  </si>
  <si>
    <t>Бартер обвесы!A3</t>
  </si>
  <si>
    <t>Бартер обвесы!A10</t>
  </si>
  <si>
    <t>Бартер обвесы!A17</t>
  </si>
  <si>
    <t>Бартер обвесы!A24</t>
  </si>
  <si>
    <t>Бартер обвесы!A31</t>
  </si>
  <si>
    <t>Бартер обвесы!A38</t>
  </si>
  <si>
    <t>Бартер обвесы!A45</t>
  </si>
  <si>
    <t>Бартер обвесы!A52</t>
  </si>
  <si>
    <t>Бартер обвесы!A59</t>
  </si>
  <si>
    <t>Бартер обвесы!A66</t>
  </si>
  <si>
    <t>Бартер обвесы!A73</t>
  </si>
  <si>
    <t>Бартер обвесы!A80</t>
  </si>
  <si>
    <t>Бартер обвесы!A87</t>
  </si>
  <si>
    <t>Бартер обвесы!A94</t>
  </si>
  <si>
    <t>Бартер обвесы!A101</t>
  </si>
  <si>
    <t>Бартер обвесы!A108</t>
  </si>
  <si>
    <t>Бартер обвесы!A115</t>
  </si>
  <si>
    <t>Бартер обвесы!A122</t>
  </si>
  <si>
    <t>Бартер обвесы!A129</t>
  </si>
  <si>
    <t>Бартер обвесы!A136</t>
  </si>
  <si>
    <t>Бартер обвесы!A143</t>
  </si>
  <si>
    <t>Бартер обвесы!A150</t>
  </si>
  <si>
    <t>Бартер обвесы!A157</t>
  </si>
  <si>
    <t>Бартер обвесы!A164</t>
  </si>
  <si>
    <t>Бартер обвесы!A171</t>
  </si>
  <si>
    <t>Бартер обвесы!A178</t>
  </si>
  <si>
    <t>Бартер обвесы!A185</t>
  </si>
  <si>
    <t>Бартер обвесы!A192</t>
  </si>
  <si>
    <t>Бартер обвесы!A199</t>
  </si>
  <si>
    <t>Бартер обвесы!A206</t>
  </si>
  <si>
    <t>Бартер обвесы!A213</t>
  </si>
  <si>
    <t>Бартер обвесы!A220</t>
  </si>
  <si>
    <t>Бартер обвесы!A227</t>
  </si>
  <si>
    <t>Бартер обвесы!A234</t>
  </si>
  <si>
    <t>Бартер обвесы!A241</t>
  </si>
  <si>
    <t>Бартер обвесы!A248</t>
  </si>
  <si>
    <t>Бартер обвесы!A255</t>
  </si>
  <si>
    <t>Бартер обвесы!A262</t>
  </si>
  <si>
    <t>Бартер обвесы!A269</t>
  </si>
  <si>
    <t>Бартер обвесы!A276</t>
  </si>
  <si>
    <t>Бартер обвесы!A283</t>
  </si>
  <si>
    <t>Бартер обвесы!A290</t>
  </si>
  <si>
    <t>Бартер обвесы!A297</t>
  </si>
  <si>
    <t>Бартер обвесы!A304</t>
  </si>
  <si>
    <t>Бартер обвесы!A311</t>
  </si>
  <si>
    <t>Бартер обвесы!A318</t>
  </si>
  <si>
    <t>Бартер обвесы!A325</t>
  </si>
  <si>
    <t>Бартер обвесы!A332</t>
  </si>
  <si>
    <t>Бартер обвесы!A339</t>
  </si>
  <si>
    <t>Бартер обвесы!A346</t>
  </si>
  <si>
    <t>Бартер обвесы!A353</t>
  </si>
  <si>
    <t>Бартер обвесы!A360</t>
  </si>
  <si>
    <t>Бартер обвесы!A367</t>
  </si>
  <si>
    <t>Бартер обвесы!A374</t>
  </si>
  <si>
    <t>Бартер обвесы!A381</t>
  </si>
  <si>
    <t>Бартер обвесы!A388</t>
  </si>
  <si>
    <t>Бартер обвесы!A395</t>
  </si>
  <si>
    <t>Бартер обвесы!A402</t>
  </si>
  <si>
    <t>Бартер обвесы!A409</t>
  </si>
  <si>
    <t>Бартер обвесы!A416</t>
  </si>
  <si>
    <t>Бартер обвесы!A423</t>
  </si>
  <si>
    <t>Бартер обвесы!A430</t>
  </si>
  <si>
    <t>Бартер обвесы!A437</t>
  </si>
  <si>
    <t>Бартер обвесы!A444</t>
  </si>
  <si>
    <t>Бартер обвесы!A451</t>
  </si>
  <si>
    <t>Бартер обвесы!A458</t>
  </si>
  <si>
    <t>Бартер обвесы!A465</t>
  </si>
  <si>
    <t>Бартер обвесы!A472</t>
  </si>
  <si>
    <t>Бартер обвесы!A479</t>
  </si>
  <si>
    <t>Бартер обвесы!A486</t>
  </si>
  <si>
    <t>Бартер обвесы!A493</t>
  </si>
  <si>
    <t>Бартер обвесы!A500</t>
  </si>
  <si>
    <t>Бартер обвесы!A507</t>
  </si>
  <si>
    <t>Бартер обвесы!A514</t>
  </si>
  <si>
    <t>Бартер обвесы!A521</t>
  </si>
  <si>
    <t>Бартер обвесы!A528</t>
  </si>
  <si>
    <t>Бартер обвесы!A535</t>
  </si>
  <si>
    <t>Бартер обвесы!A542</t>
  </si>
  <si>
    <t>Бартер обвесы!A549</t>
  </si>
  <si>
    <t>Бартер обвесы!A556</t>
  </si>
  <si>
    <t>Бартер обвесы!A563</t>
  </si>
  <si>
    <t>Бартер обвесы!A570</t>
  </si>
  <si>
    <t>Бартер обвесы!A577</t>
  </si>
  <si>
    <t>Бартер обвесы!A584</t>
  </si>
  <si>
    <t>Бартер обвесы!A591</t>
  </si>
  <si>
    <t>Бартер обвесы!A598</t>
  </si>
  <si>
    <t>Бартер обвесы!A605</t>
  </si>
  <si>
    <t>Бартер обвесы!A612</t>
  </si>
  <si>
    <t>Бартер обвесы!A619</t>
  </si>
  <si>
    <t>Бартер обвесы!A626</t>
  </si>
  <si>
    <t>Бартер обвесы!A633</t>
  </si>
  <si>
    <t>Бартер обвесы!A640</t>
  </si>
  <si>
    <t>Бартер обвесы!A647</t>
  </si>
  <si>
    <t>Бартер обвесы!A654</t>
  </si>
  <si>
    <t>Бартер обвесы!A661</t>
  </si>
  <si>
    <t>Бартер обвесы!A668</t>
  </si>
  <si>
    <t>Бартер обвесы!A675</t>
  </si>
  <si>
    <t>Бартер обвесы!A682</t>
  </si>
  <si>
    <t>Бартер обвесы!A689</t>
  </si>
  <si>
    <t>Бартер обвесы!A696</t>
  </si>
  <si>
    <t>Бартер обвесы!A703</t>
  </si>
  <si>
    <t>Бартер обвесы!A710</t>
  </si>
  <si>
    <t>Бартер обвесы!A717</t>
  </si>
  <si>
    <t>Бартер обвесы!A724</t>
  </si>
  <si>
    <t>Увеличенный магазин Browning; Увеличенный магазин Форт-12</t>
  </si>
  <si>
    <t>Бартер обвесы!A731</t>
  </si>
  <si>
    <t>Бартер обвесы!A738</t>
  </si>
  <si>
    <t>Бартер обвесы!A745</t>
  </si>
  <si>
    <t>Бартер обвесы!A752</t>
  </si>
  <si>
    <t>Бартер обвесы!A759</t>
  </si>
  <si>
    <t>Бартер обвесы!A766</t>
  </si>
  <si>
    <t>Бартер обвесы!A773</t>
  </si>
  <si>
    <t>Бартер обвесы!A780</t>
  </si>
  <si>
    <t>Бартер обвесы!A787</t>
  </si>
  <si>
    <t>Бартер обвесы!A794</t>
  </si>
  <si>
    <t>Бартер обвесы!A801</t>
  </si>
  <si>
    <t>Бартер обвесы!A808</t>
  </si>
  <si>
    <t>Бартер обвесы!A815</t>
  </si>
  <si>
    <t>Бартер обвесы!A822</t>
  </si>
  <si>
    <t>Бартер обвесы!A829</t>
  </si>
  <si>
    <t>Бартер обвесы!A836</t>
  </si>
  <si>
    <t>Бартер обвесы!A843</t>
  </si>
  <si>
    <t>Бартер обвесы!A850</t>
  </si>
  <si>
    <t>Бартер обвесы!A857</t>
  </si>
  <si>
    <t>Бартер обвесы!A864</t>
  </si>
  <si>
    <t>Бартер обвесы!A871</t>
  </si>
  <si>
    <t>Бартер обвесы!A878</t>
  </si>
  <si>
    <t>Бартер обвесы!A885</t>
  </si>
  <si>
    <t>Бартер обвесы!A892</t>
  </si>
  <si>
    <t>Бартер обвесы!A899</t>
  </si>
  <si>
    <t>Бартер обвесы!A906</t>
  </si>
  <si>
    <t>Бартер обвесы!A913</t>
  </si>
  <si>
    <t>Бартер обвесы!A920</t>
  </si>
  <si>
    <t>Бартер обвесы!A927</t>
  </si>
  <si>
    <t>Бартер обвесы!A934</t>
  </si>
  <si>
    <t>Бартер обвесы!A941</t>
  </si>
  <si>
    <t>Бартер обвесы!A948</t>
  </si>
  <si>
    <t>Бартер обвесы!A955</t>
  </si>
  <si>
    <t>Контейнер «Берлога-5У»; Контейнер «Добытчик»</t>
  </si>
  <si>
    <t>Бартер контейнеры и сумки!A3</t>
  </si>
  <si>
    <t>Бартер контейнеры и сумки!A10</t>
  </si>
  <si>
    <t>Контейнер «Сота-У»; Контейнер «Добытчик»</t>
  </si>
  <si>
    <t>Бартер контейнеры и сумки!A17</t>
  </si>
  <si>
    <t>Бартер контейнеры и сумки!A24</t>
  </si>
  <si>
    <t>Бартер контейнеры и сумки!A31</t>
  </si>
  <si>
    <t>Бартер контейнеры и сумки!A38</t>
  </si>
  <si>
    <t>Бартер контейнеры и сумки!A45</t>
  </si>
  <si>
    <t>Бартер контейнеры и сумки!A52</t>
  </si>
  <si>
    <t>Бартер контейнеры и сумки!A59</t>
  </si>
  <si>
    <t>Бартер контейнеры и сумки!A66</t>
  </si>
  <si>
    <t>Бартер контейнеры и сумки!A73</t>
  </si>
  <si>
    <t>Бартер контейнеры и сумки!A80</t>
  </si>
  <si>
    <t>Бартер контейнеры и сумки!A87</t>
  </si>
  <si>
    <t>Бартер контейнеры и сумки!A94</t>
  </si>
  <si>
    <t>Бартер контейнеры и сумки!A101</t>
  </si>
  <si>
    <t>Бартер контейнеры и сумки!A108</t>
  </si>
  <si>
    <t>Бартер контейнеры и сумки!A115</t>
  </si>
  <si>
    <t>Бартер контейнеры и сумки!A122</t>
  </si>
  <si>
    <t>Бартер контейнеры и сумки!A129</t>
  </si>
  <si>
    <t>Бартер контейнеры и сумки!A136</t>
  </si>
  <si>
    <t>Бартер контейнеры и сумки!A143</t>
  </si>
  <si>
    <t>Бартер контейнеры и сумки!A150</t>
  </si>
  <si>
    <t>Бартер контейнеры и сумки!A157</t>
  </si>
  <si>
    <t>Бартер контейнеры и сумки!A164</t>
  </si>
  <si>
    <t>Бартер контейнеры и сумки!A171</t>
  </si>
  <si>
    <t>Бартер контейнеры и сумки!A178</t>
  </si>
  <si>
    <t>Бартер контейнеры и сумки!A185</t>
  </si>
  <si>
    <t>Бартер контейнеры и сумки!A192</t>
  </si>
  <si>
    <t>Бартер контейнеры и сумки!A199</t>
  </si>
  <si>
    <t>Бартер контейнеры и сумки!A206</t>
  </si>
  <si>
    <t>Бартер контейнеры и сумки!A213</t>
  </si>
  <si>
    <t>Бартер контейнеры и сумки!A220</t>
  </si>
  <si>
    <t>Бартер контейнеры и сумки!A227</t>
  </si>
  <si>
    <t>Бартер контейнеры и сумки!A234</t>
  </si>
  <si>
    <t>Бартер контейнеры и сумки!A241</t>
  </si>
  <si>
    <t>Бартер контейнеры и сумки!A248</t>
  </si>
  <si>
    <t>Бартер контейнеры и сумки!A255</t>
  </si>
  <si>
    <t>Бартер контейнеры и сумки!A262</t>
  </si>
  <si>
    <t>Бартер контейнеры и сумки!A269</t>
  </si>
  <si>
    <t>Собрано, шт.</t>
  </si>
  <si>
    <t>Прогресс бартера</t>
  </si>
  <si>
    <t>Все</t>
  </si>
  <si>
    <t>Стоимость бартера</t>
  </si>
  <si>
    <t>Оружие</t>
  </si>
  <si>
    <t>1 011 шт.; 1 215 шт.; 1 220 шт.; 1 292 шт.; 4 939 шт.; 55 шт.; K2</t>
  </si>
  <si>
    <t>Бартер оружие!A17</t>
  </si>
  <si>
    <t>1 011 шт.; 1 023 шт.; 1 220 шт.; 1 534 шт.; 4 939 шт.; 55 шт.; АЕК-971</t>
  </si>
  <si>
    <t>Бартер оружие!A24</t>
  </si>
  <si>
    <t>Внести ресурсы</t>
  </si>
  <si>
    <t>На листе «Бартерные ресурсы» измените только значения в столбце «Собрано, шт.». Это фактическое количество ресурсов, которое есть у вас в игре.</t>
  </si>
  <si>
    <t>Найти предмет</t>
  </si>
  <si>
    <t>На листе «Поиск» введите часть названия в ячейку D2. В ячейке D3 выберите тип предмета или оставьте «Все».</t>
  </si>
  <si>
    <t>Перейти к предмету</t>
  </si>
  <si>
    <t>Щёлкните по названию предмета в столбце «Название». Excel перейдёт к соответствующему предмету на листе его категории.</t>
  </si>
  <si>
    <t>Выбрать предложение</t>
  </si>
  <si>
    <t>На листе категории нажмите кнопку нужного предложения №1–№4. Кнопки пустых предложений неактивны.</t>
  </si>
  <si>
    <t>Проверить прогресс</t>
  </si>
  <si>
    <t>Выбранное предложение появится на листе «Активный бартер». Красный цвет означает нехватку ресурсов, зелёный — достаточное количество.</t>
  </si>
  <si>
    <t>Подтвердить или отменить</t>
  </si>
  <si>
    <t>Поиск</t>
  </si>
  <si>
    <t>Предложения</t>
  </si>
  <si>
    <t>Активный бартер</t>
  </si>
  <si>
    <t>Списание</t>
  </si>
  <si>
    <t>Списание выполняется только при нажатии зелёной кнопки «Подтвердить бартер» при прогрессе 100%. Отмена или удаление незавершённого слота ничего не списывает.</t>
  </si>
  <si>
    <t>Макросы</t>
  </si>
  <si>
    <t>Слоты</t>
  </si>
  <si>
    <t>Ресурсы</t>
  </si>
  <si>
    <t>Служебные данные</t>
  </si>
  <si>
    <t>Обновление базы</t>
  </si>
  <si>
    <t>Состав поиска</t>
  </si>
  <si>
    <t>Не обновляется прогресс</t>
  </si>
  <si>
    <t>Проверьте, что количество внесено в столбец «Собрано, шт.» на листе «Бартерные ресурсы», а книга открыта с включёнными макросами.</t>
  </si>
  <si>
    <t>Не работает кнопка</t>
  </si>
  <si>
    <t>Проверьте формат .xlsm и разрешение макросов. Не запускайте книгу в режиме защищённого просмотра без нажатия «Разрешить редактирование».</t>
  </si>
  <si>
    <t>Предмет не найден</t>
  </si>
  <si>
    <t>Очистите D2, выберите «Все» в D3 и проверьте написание. Если предмета нет в категории, он не входит в текущую базу бартеров.</t>
  </si>
  <si>
    <t>Нужно начать заново</t>
  </si>
  <si>
    <t>Удалите активный слот красной кнопкой. Это отменит выбранный бартер без списания ресурсов и вернёт предложение в исходное состояние.</t>
  </si>
  <si>
    <t>Красная кнопка отменяет бартер. Зелёная кнопка подтверждает готовый бартер, но подтвердить его можно только после накопления нужного количества рессурсов. После подтверждения необходимые ресурсы сами вычитаются из тех, что у вас имеются.</t>
  </si>
  <si>
    <t>Описание работы функций</t>
  </si>
  <si>
    <t>Инструкция по использованию</t>
  </si>
  <si>
    <t>Поиск работает по названию и типу предмета. Для перехода к искомому объекту, просто нажмите на его название.</t>
  </si>
  <si>
    <t>Каждый выбранный слот показывает предмет, ранг, стоимость, собранное и требуемое количество ресурсов и прогресс</t>
  </si>
  <si>
    <t>В таблицах категорий отображаются предложения бартера. Нажев на номер предложения, данный предмет автоматический добавляется в «Активный бартер» и начинает отслеживать прогресс.</t>
  </si>
  <si>
    <t>Книга должна быть сохранена в формате .xlsm. При открытии во вкладке «Файл» -&gt; «Сведения» нажмите «Включить содержимое» иначе кнопки и автоматические расчёты работать не будут.</t>
  </si>
  <si>
    <t>Поддерживается до 30 активных бартеров. Пустые слоты скрываются автоматически.</t>
  </si>
  <si>
    <t>Правила работы и использования таблицы</t>
  </si>
  <si>
    <t>Собранное количество вводится вручную. Значения должны быть числовыми и неотрицательными</t>
  </si>
  <si>
    <t>Не изменяйте названия, расположение любых элементов таблицы, включая порядок листов, иначе таблица перестанет работать.</t>
  </si>
  <si>
    <t>Книга использует сохранённую базу предметов, иконок и бартеров. Автоматического обновления данных с сайтов во время работы книги нет. При  необходимость добавления нового предложения/предмета или удаления уже существующих, обратитесь к автору таблицы.</t>
  </si>
  <si>
    <t>В текущий индекс поиска включены 361 бартерный предмет из поддерживаемых категорий. Предметы получаемые без бартерных ресурсов не включаются.</t>
  </si>
  <si>
    <t>Возможные проблемы</t>
  </si>
  <si>
    <t>Инструкция - STALZONE Barter Tracker V1.0</t>
  </si>
  <si>
    <t>При возникновении багов, проблем, ошибок или при наличии предложений пишетt напрямую автору таблицы на Форуме с соответствующей темой «STALZONE Barter Tracker»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</si>
</sst>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&quot; ₽&quot;"/>
    <numFmt numFmtId="165" formatCode="#,##0&quot; шт.&quot;"/>
    <numFmt numFmtId="166" formatCode="#,##0\ [$₽-419]"/>
    <numFmt numFmtId="167" formatCode="0&quot; /&quot;"/>
    <numFmt numFmtId="168" formatCode="0&quot; шт.&quot;"/>
    <numFmt numFmtId="169" formatCode=";;;"/>
  </numFmts>
  <fonts count="36">
    <font>
      <sz val="11"/>
      <name val="Carlito"/>
    </font>
    <font>
      <b/>
      <sz val="11"/>
      <color rgb="FF183B56"/>
      <name val="Carlito"/>
    </font>
    <font>
      <sz val="11"/>
      <color rgb="FF1E293B"/>
      <name val="Carlito"/>
    </font>
    <font>
      <sz val="11"/>
      <name val="Carlito"/>
    </font>
    <font>
      <b/>
      <sz val="11"/>
      <color rgb="FF1E293B"/>
      <name val="Carlito"/>
    </font>
    <font>
      <b/>
      <sz val="11"/>
      <color rgb="FFBF5BAD"/>
      <name val="Carlito"/>
    </font>
    <font>
      <b/>
      <sz val="11"/>
      <color rgb="FFFF5B5B"/>
      <name val="Carlito"/>
    </font>
    <font>
      <b/>
      <sz val="11"/>
      <color rgb="FF5599FF"/>
      <name val="Carlito"/>
    </font>
    <font>
      <b/>
      <sz val="11"/>
      <color rgb="FF36B85A"/>
      <name val="Carlito"/>
    </font>
    <font>
      <b/>
      <sz val="11"/>
      <color rgb="FF7B8794"/>
      <name val="Carlito"/>
    </font>
    <font>
      <b/>
      <sz val="11"/>
      <color rgb="FFFFFFFF"/>
      <name val="Carlito"/>
    </font>
    <font>
      <sz val="11"/>
      <color rgb="FF111827"/>
      <name val="Carlito"/>
    </font>
    <font>
      <b/>
      <sz val="11"/>
      <color rgb="FF334155"/>
      <name val="Carlito"/>
    </font>
    <font>
      <sz val="11"/>
      <color rgb="FF64748B"/>
      <name val="Carlito"/>
    </font>
    <font>
      <sz val="11"/>
      <color rgb="FF94A3B8"/>
      <name val="Carlito"/>
    </font>
    <font>
      <sz val="11"/>
      <color rgb="FF1F2937"/>
      <name val="Carlito"/>
    </font>
    <font>
      <b/>
      <sz val="11"/>
      <color rgb="FF1F2937"/>
      <name val="Carlito"/>
    </font>
    <font>
      <b/>
      <sz val="11"/>
      <color rgb="FF1F2937"/>
      <name val="Carlito"/>
      <charset val="204"/>
    </font>
    <font>
      <b/>
      <sz val="11"/>
      <color rgb="FFB91C1C"/>
      <name val="Carlito"/>
      <charset val="204"/>
    </font>
    <font>
      <sz val="11"/>
      <color rgb="FF1F2937"/>
      <name val="Carlito"/>
      <charset val="204"/>
    </font>
    <font>
      <u/>
      <sz val="11"/>
      <color theme="10"/>
      <name val="Carlito"/>
    </font>
    <font>
      <u/>
      <sz val="11"/>
      <color rgb="FFFF5B5B"/>
      <name val="Carlito"/>
    </font>
    <font>
      <sz val="11"/>
      <color rgb="FFFF5B5B"/>
      <name val="Carlito"/>
    </font>
    <font>
      <u/>
      <sz val="11"/>
      <color rgb="FFBF5BAD"/>
      <name val="Carlito"/>
    </font>
    <font>
      <sz val="11"/>
      <color rgb="FFBF5BAD"/>
      <name val="Carlito"/>
    </font>
    <font>
      <u/>
      <sz val="11"/>
      <color rgb="FF5599FF"/>
      <name val="Carlito"/>
    </font>
    <font>
      <sz val="11"/>
      <color rgb="FF5599FF"/>
      <name val="Carlito"/>
    </font>
    <font>
      <u/>
      <sz val="11"/>
      <color rgb="FF36B85A"/>
      <name val="Carlito"/>
    </font>
    <font>
      <sz val="11"/>
      <color rgb="FF36B85A"/>
      <name val="Carlito"/>
    </font>
    <font>
      <u/>
      <sz val="11"/>
      <color rgb="FF7B8794"/>
      <name val="Carlito"/>
    </font>
    <font>
      <sz val="11"/>
      <color rgb="FF7B8794"/>
      <name val="Carlito"/>
    </font>
    <font>
      <b/>
      <sz val="11"/>
      <color rgb="FF183B56"/>
      <name val="Carlito"/>
      <charset val="204"/>
    </font>
    <font>
      <b/>
      <sz val="11"/>
      <color rgb="FF166534"/>
      <name val="Carlito"/>
      <charset val="204"/>
    </font>
    <font>
      <b/>
      <sz val="16"/>
      <color rgb="FFFFFFFF"/>
      <name val="Carlito"/>
    </font>
    <font>
      <b/>
      <sz val="11"/>
      <name val="Carlito"/>
    </font>
    <font>
      <b/>
      <sz val="11"/>
      <color theme="0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DCEAF7"/>
      </patternFill>
    </fill>
    <fill>
      <patternFill patternType="solid">
        <fgColor rgb="FFE5E7EB"/>
      </patternFill>
    </fill>
    <fill>
      <patternFill patternType="solid">
        <fgColor rgb="FFFFFFFF"/>
      </patternFill>
    </fill>
    <fill>
      <patternFill patternType="solid">
        <fgColor rgb="FFE2E8F0"/>
      </patternFill>
    </fill>
    <fill>
      <patternFill patternType="solid">
        <fgColor rgb="FF64748B"/>
      </patternFill>
    </fill>
    <fill>
      <patternFill patternType="solid">
        <fgColor rgb="FF183B56"/>
      </patternFill>
    </fill>
    <fill>
      <patternFill patternType="solid">
        <fgColor rgb="FFFFF2CC"/>
      </patternFill>
    </fill>
    <fill>
      <patternFill patternType="solid">
        <fgColor rgb="FFF8FAFC"/>
      </patternFill>
    </fill>
    <fill>
      <patternFill patternType="solid">
        <fgColor rgb="FFDCEAF7"/>
      </patternFill>
    </fill>
    <fill>
      <patternFill patternType="solid">
        <fgColor rgb="FFDCEAF7"/>
      </patternFill>
    </fill>
    <fill>
      <patternFill patternType="solid">
        <fgColor rgb="FFFDF08D"/>
        <bgColor indexed="64"/>
      </patternFill>
    </fill>
    <fill>
      <patternFill patternType="solid">
        <fgColor rgb="FFDCEAF7"/>
        <bgColor indexed="64"/>
      </patternFill>
    </fill>
    <fill>
      <patternFill patternType="solid">
        <fgColor rgb="FF563B1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7">
    <border>
      <left/>
      <right/>
      <top/>
      <bottom/>
      <diagonal/>
    </border>
    <border>
      <left/>
      <right style="thin">
        <color rgb="FF94A3B8"/>
      </right>
      <top/>
      <bottom style="thin">
        <color rgb="FF94A3B8"/>
      </bottom>
      <diagonal/>
    </border>
    <border>
      <left style="thin">
        <color rgb="FF94A3B8"/>
      </left>
      <right style="thin">
        <color rgb="FF94A3B8"/>
      </right>
      <top/>
      <bottom style="thin">
        <color rgb="FF94A3B8"/>
      </bottom>
      <diagonal/>
    </border>
    <border>
      <left/>
      <right style="thin">
        <color rgb="FF94A3B8"/>
      </right>
      <top style="thin">
        <color rgb="FF94A3B8"/>
      </top>
      <bottom/>
      <diagonal/>
    </border>
    <border>
      <left style="thin">
        <color rgb="FF94A3B8"/>
      </left>
      <right style="thin">
        <color rgb="FF94A3B8"/>
      </right>
      <top style="thin">
        <color rgb="FF94A3B8"/>
      </top>
      <bottom/>
      <diagonal/>
    </border>
    <border>
      <left/>
      <right style="thin">
        <color rgb="FF94A3B8"/>
      </right>
      <top style="thin">
        <color rgb="FF94A3B8"/>
      </top>
      <bottom style="thin">
        <color rgb="FF94A3B8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thin">
        <color rgb="FF94A3B8"/>
      </bottom>
      <diagonal/>
    </border>
    <border>
      <left/>
      <right style="thin">
        <color rgb="FF94A3B8"/>
      </right>
      <top/>
      <bottom style="thick">
        <color rgb="FF183B56"/>
      </bottom>
      <diagonal/>
    </border>
    <border>
      <left style="thin">
        <color rgb="FF94A3B8"/>
      </left>
      <right style="thin">
        <color rgb="FF94A3B8"/>
      </right>
      <top/>
      <bottom style="thick">
        <color rgb="FF183B56"/>
      </bottom>
      <diagonal/>
    </border>
    <border>
      <left style="thin">
        <color rgb="FF94A3B8"/>
      </left>
      <right style="thick">
        <color rgb="FF183B56"/>
      </right>
      <top/>
      <bottom style="thick">
        <color rgb="FF183B56"/>
      </bottom>
      <diagonal/>
    </border>
    <border>
      <left style="thin">
        <color rgb="FF94A3B8"/>
      </left>
      <right style="thick">
        <color rgb="FF183B56"/>
      </right>
      <top/>
      <bottom style="thin">
        <color rgb="FF94A3B8"/>
      </bottom>
      <diagonal/>
    </border>
    <border>
      <left style="thin">
        <color rgb="FF94A3B8"/>
      </left>
      <right style="thick">
        <color rgb="FF183B56"/>
      </right>
      <top style="thin">
        <color rgb="FF94A3B8"/>
      </top>
      <bottom style="thin">
        <color rgb="FF94A3B8"/>
      </bottom>
      <diagonal/>
    </border>
    <border>
      <left style="thin">
        <color rgb="FF94A3B8"/>
      </left>
      <right style="thick">
        <color rgb="FF183B56"/>
      </right>
      <top style="thin">
        <color rgb="FF94A3B8"/>
      </top>
      <bottom style="thick">
        <color rgb="FF183B56"/>
      </bottom>
      <diagonal/>
    </border>
    <border>
      <left/>
      <right style="thin">
        <color rgb="FF94A3B8"/>
      </right>
      <top style="thin">
        <color rgb="FF94A3B8"/>
      </top>
      <bottom style="thick">
        <color rgb="FF183B56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thick">
        <color rgb="FF183B56"/>
      </bottom>
      <diagonal/>
    </border>
    <border>
      <left style="thin">
        <color rgb="FF94A3B8"/>
      </left>
      <right style="thick">
        <color rgb="FF183B56"/>
      </right>
      <top style="thin">
        <color rgb="FF94A3B8"/>
      </top>
      <bottom/>
      <diagonal/>
    </border>
    <border>
      <left style="medium">
        <color indexed="64"/>
      </left>
      <right style="thin">
        <color rgb="FF94A3B8"/>
      </right>
      <top style="medium">
        <color indexed="64"/>
      </top>
      <bottom style="thin">
        <color rgb="FF94A3B8"/>
      </bottom>
      <diagonal/>
    </border>
    <border>
      <left style="thin">
        <color rgb="FF94A3B8"/>
      </left>
      <right style="thin">
        <color rgb="FF94A3B8"/>
      </right>
      <top style="medium">
        <color indexed="64"/>
      </top>
      <bottom style="thin">
        <color rgb="FF94A3B8"/>
      </bottom>
      <diagonal/>
    </border>
    <border>
      <left style="thin">
        <color rgb="FF94A3B8"/>
      </left>
      <right style="thick">
        <color rgb="FF183B56"/>
      </right>
      <top style="medium">
        <color indexed="64"/>
      </top>
      <bottom style="thin">
        <color rgb="FF94A3B8"/>
      </bottom>
      <diagonal/>
    </border>
    <border>
      <left style="thin">
        <color rgb="FF94A3B8"/>
      </left>
      <right style="medium">
        <color indexed="64"/>
      </right>
      <top style="medium">
        <color indexed="64"/>
      </top>
      <bottom style="thin">
        <color rgb="FF94A3B8"/>
      </bottom>
      <diagonal/>
    </border>
    <border>
      <left style="medium">
        <color indexed="64"/>
      </left>
      <right style="thin">
        <color rgb="FF94A3B8"/>
      </right>
      <top style="thin">
        <color rgb="FF94A3B8"/>
      </top>
      <bottom style="thin">
        <color rgb="FF94A3B8"/>
      </bottom>
      <diagonal/>
    </border>
    <border>
      <left style="thin">
        <color rgb="FF94A3B8"/>
      </left>
      <right style="medium">
        <color indexed="64"/>
      </right>
      <top style="thin">
        <color rgb="FF94A3B8"/>
      </top>
      <bottom style="thin">
        <color rgb="FF94A3B8"/>
      </bottom>
      <diagonal/>
    </border>
    <border>
      <left style="medium">
        <color indexed="64"/>
      </left>
      <right style="thin">
        <color rgb="FF94A3B8"/>
      </right>
      <top style="thin">
        <color rgb="FF94A3B8"/>
      </top>
      <bottom style="medium">
        <color indexed="64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medium">
        <color indexed="64"/>
      </bottom>
      <diagonal/>
    </border>
    <border>
      <left style="thin">
        <color rgb="FF94A3B8"/>
      </left>
      <right style="thick">
        <color rgb="FF183B56"/>
      </right>
      <top style="thin">
        <color rgb="FF94A3B8"/>
      </top>
      <bottom style="medium">
        <color indexed="64"/>
      </bottom>
      <diagonal/>
    </border>
    <border>
      <left style="thin">
        <color rgb="FF94A3B8"/>
      </left>
      <right style="medium">
        <color indexed="64"/>
      </right>
      <top style="thin">
        <color rgb="FF94A3B8"/>
      </top>
      <bottom style="medium">
        <color indexed="64"/>
      </bottom>
      <diagonal/>
    </border>
    <border>
      <left style="thin">
        <color rgb="FFD6B656"/>
      </left>
      <right style="thin">
        <color rgb="FFD6B656"/>
      </right>
      <top style="thin">
        <color rgb="FFD6B656"/>
      </top>
      <bottom style="thin">
        <color rgb="FFD6B656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374151"/>
      </left>
      <right style="medium">
        <color rgb="FF374151"/>
      </right>
      <top style="medium">
        <color rgb="FF374151"/>
      </top>
      <bottom style="medium">
        <color rgb="FF374151"/>
      </bottom>
      <diagonal/>
    </border>
    <border>
      <left/>
      <right style="thin">
        <color rgb="FF94A3B8"/>
      </right>
      <top style="thick">
        <color rgb="FF183B56"/>
      </top>
      <bottom style="thin">
        <color rgb="FF94A3B8"/>
      </bottom>
      <diagonal/>
    </border>
    <border>
      <left style="thin">
        <color rgb="FF94A3B8"/>
      </left>
      <right style="thin">
        <color rgb="FF94A3B8"/>
      </right>
      <top style="thick">
        <color rgb="FF183B56"/>
      </top>
      <bottom style="thin">
        <color rgb="FF94A3B8"/>
      </bottom>
      <diagonal/>
    </border>
    <border>
      <left style="thin">
        <color rgb="FF94A3B8"/>
      </left>
      <right style="thick">
        <color rgb="FF183B56"/>
      </right>
      <top style="thick">
        <color rgb="FF183B56"/>
      </top>
      <bottom style="thin">
        <color rgb="FF94A3B8"/>
      </bottom>
      <diagonal/>
    </border>
    <border>
      <left style="thick">
        <color rgb="FF183B56"/>
      </left>
      <right style="thin">
        <color rgb="FF94A3B8"/>
      </right>
      <top style="thin">
        <color rgb="FF94A3B8"/>
      </top>
      <bottom style="thick">
        <color rgb="FF183B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rgb="FF374151"/>
      </left>
      <right style="medium">
        <color rgb="FF374151"/>
      </right>
      <top style="medium">
        <color rgb="FF374151"/>
      </top>
      <bottom/>
      <diagonal/>
    </border>
    <border>
      <left style="medium">
        <color rgb="FF374151"/>
      </left>
      <right style="medium">
        <color rgb="FF374151"/>
      </right>
      <top/>
      <bottom/>
      <diagonal/>
    </border>
    <border>
      <left style="medium">
        <color rgb="FF374151"/>
      </left>
      <right style="medium">
        <color rgb="FF374151"/>
      </right>
      <top/>
      <bottom style="medium">
        <color rgb="FF374151"/>
      </bottom>
      <diagonal/>
    </border>
    <border>
      <left/>
      <right style="thick">
        <color rgb="FF183B56"/>
      </right>
      <top/>
      <bottom/>
      <diagonal/>
    </border>
    <border>
      <left/>
      <right/>
      <top/>
      <bottom style="thick">
        <color rgb="FF183B56"/>
      </bottom>
      <diagonal/>
    </border>
    <border>
      <left/>
      <right style="thick">
        <color rgb="FF183B56"/>
      </right>
      <top/>
      <bottom style="thick">
        <color rgb="FF183B56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0" fillId="0" borderId="0" applyNumberFormat="0" applyFill="0" applyBorder="0" applyAlignment="0" applyProtection="0"/>
  </cellStyleXfs>
  <cellXfs count="151">
    <xf numFmtId="0" fontId="0" fillId="0" borderId="0" xfId="0"/>
    <xf numFmtId="1" fontId="0" fillId="12" borderId="41" xfId="0" applyNumberFormat="1" applyFill="1" applyBorder="1" applyAlignment="1" applyProtection="1">
      <alignment horizontal="center" vertical="center"/>
      <protection locked="0"/>
    </xf>
    <xf numFmtId="1" fontId="0" fillId="12" borderId="48" xfId="0" applyNumberFormat="1" applyFill="1" applyBorder="1" applyAlignment="1" applyProtection="1">
      <alignment horizontal="center" vertical="center"/>
      <protection locked="0"/>
    </xf>
    <xf numFmtId="1" fontId="0" fillId="12" borderId="44" xfId="0" applyNumberFormat="1" applyFill="1" applyBorder="1" applyAlignment="1" applyProtection="1">
      <alignment horizontal="center" vertical="center"/>
      <protection locked="0"/>
    </xf>
    <xf numFmtId="0" fontId="21" fillId="0" borderId="6" xfId="2" applyFont="1" applyBorder="1" applyProtection="1"/>
    <xf numFmtId="0" fontId="23" fillId="0" borderId="6" xfId="2" applyFont="1" applyBorder="1" applyProtection="1"/>
    <xf numFmtId="0" fontId="25" fillId="0" borderId="6" xfId="2" applyFont="1" applyBorder="1" applyProtection="1"/>
    <xf numFmtId="0" fontId="27" fillId="0" borderId="6" xfId="2" applyFont="1" applyBorder="1" applyProtection="1"/>
    <xf numFmtId="0" fontId="29" fillId="0" borderId="6" xfId="2" applyFont="1" applyBorder="1" applyProtection="1"/>
    <xf numFmtId="0" fontId="11" fillId="8" borderId="26" xfId="0" applyFont="1" applyFill="1" applyBorder="1" applyAlignment="1" applyProtection="1">
      <alignment horizontal="left" vertical="center"/>
      <protection locked="0"/>
    </xf>
    <xf numFmtId="0" fontId="33" fillId="14" borderId="0" xfId="0" applyFont="1" applyFill="1" applyAlignment="1" applyProtection="1">
      <alignment horizontal="center" vertical="center"/>
    </xf>
    <xf numFmtId="0" fontId="0" fillId="0" borderId="0" xfId="0" applyProtection="1"/>
    <xf numFmtId="0" fontId="35" fillId="16" borderId="56" xfId="0" applyFont="1" applyFill="1" applyBorder="1" applyAlignment="1" applyProtection="1">
      <alignment horizontal="center" vertical="center" wrapText="1"/>
    </xf>
    <xf numFmtId="0" fontId="34" fillId="15" borderId="56" xfId="0" applyFont="1" applyFill="1" applyBorder="1" applyAlignment="1" applyProtection="1">
      <alignment horizontal="center" vertical="center"/>
    </xf>
    <xf numFmtId="0" fontId="34" fillId="0" borderId="33" xfId="0" applyFont="1" applyBorder="1" applyAlignment="1" applyProtection="1">
      <alignment horizontal="center" vertical="center" wrapText="1"/>
    </xf>
    <xf numFmtId="0" fontId="34" fillId="0" borderId="33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vertical="center" wrapText="1"/>
    </xf>
    <xf numFmtId="0" fontId="34" fillId="0" borderId="33" xfId="0" applyFont="1" applyBorder="1" applyAlignment="1" applyProtection="1">
      <alignment horizontal="left" vertical="center" wrapText="1"/>
    </xf>
    <xf numFmtId="0" fontId="0" fillId="0" borderId="33" xfId="0" applyBorder="1" applyAlignment="1" applyProtection="1">
      <alignment horizontal="left" vertical="center" wrapText="1"/>
    </xf>
    <xf numFmtId="0" fontId="1" fillId="2" borderId="35" xfId="0" applyFont="1" applyFill="1" applyBorder="1" applyAlignment="1" applyProtection="1">
      <alignment horizontal="center" vertical="center"/>
    </xf>
    <xf numFmtId="0" fontId="1" fillId="2" borderId="36" xfId="0" applyFont="1" applyFill="1" applyBorder="1" applyAlignment="1" applyProtection="1">
      <alignment horizontal="center" vertical="center"/>
    </xf>
    <xf numFmtId="0" fontId="1" fillId="2" borderId="37" xfId="0" applyFont="1" applyFill="1" applyBorder="1" applyAlignment="1" applyProtection="1">
      <alignment horizontal="center" vertical="center"/>
    </xf>
    <xf numFmtId="0" fontId="1" fillId="2" borderId="35" xfId="0" applyFont="1" applyFill="1" applyBorder="1" applyAlignment="1" applyProtection="1">
      <alignment horizontal="center" vertical="center" wrapText="1"/>
    </xf>
    <xf numFmtId="0" fontId="1" fillId="2" borderId="36" xfId="0" applyFont="1" applyFill="1" applyBorder="1" applyAlignment="1" applyProtection="1">
      <alignment horizontal="center" vertical="center" wrapText="1"/>
    </xf>
    <xf numFmtId="0" fontId="1" fillId="2" borderId="49" xfId="0" applyFont="1" applyFill="1" applyBorder="1" applyAlignment="1" applyProtection="1">
      <alignment horizontal="center" vertical="center" wrapText="1"/>
    </xf>
    <xf numFmtId="0" fontId="1" fillId="2" borderId="34" xfId="0" applyFont="1" applyFill="1" applyBorder="1" applyAlignment="1" applyProtection="1">
      <alignment horizontal="center" vertical="center" wrapText="1"/>
    </xf>
    <xf numFmtId="0" fontId="0" fillId="0" borderId="38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left" vertical="center" wrapText="1"/>
    </xf>
    <xf numFmtId="0" fontId="0" fillId="0" borderId="40" xfId="0" applyBorder="1" applyAlignment="1" applyProtection="1">
      <alignment horizontal="left" vertical="center" wrapText="1"/>
    </xf>
    <xf numFmtId="0" fontId="0" fillId="0" borderId="45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left" vertical="center" wrapText="1"/>
    </xf>
    <xf numFmtId="0" fontId="0" fillId="0" borderId="47" xfId="0" applyBorder="1" applyAlignment="1" applyProtection="1">
      <alignment horizontal="left" vertical="center" wrapText="1"/>
    </xf>
    <xf numFmtId="0" fontId="0" fillId="0" borderId="42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left" vertical="center" wrapText="1"/>
    </xf>
    <xf numFmtId="0" fontId="10" fillId="7" borderId="0" xfId="0" applyFont="1" applyFill="1" applyAlignment="1" applyProtection="1">
      <alignment horizontal="center" vertical="center"/>
    </xf>
    <xf numFmtId="0" fontId="0" fillId="0" borderId="0" xfId="0" applyProtection="1"/>
    <xf numFmtId="0" fontId="10" fillId="6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13" fillId="0" borderId="27" xfId="0" applyFont="1" applyBorder="1" applyProtection="1"/>
    <xf numFmtId="166" fontId="13" fillId="0" borderId="27" xfId="0" applyNumberFormat="1" applyFont="1" applyBorder="1" applyProtection="1"/>
    <xf numFmtId="1" fontId="13" fillId="0" borderId="27" xfId="0" applyNumberFormat="1" applyFont="1" applyBorder="1" applyProtection="1"/>
    <xf numFmtId="0" fontId="14" fillId="0" borderId="0" xfId="0" applyFont="1" applyProtection="1"/>
    <xf numFmtId="0" fontId="1" fillId="11" borderId="6" xfId="0" applyFont="1" applyFill="1" applyBorder="1" applyAlignment="1" applyProtection="1">
      <alignment horizontal="center" vertical="center"/>
    </xf>
    <xf numFmtId="0" fontId="0" fillId="0" borderId="53" xfId="0" applyBorder="1" applyProtection="1"/>
    <xf numFmtId="0" fontId="11" fillId="0" borderId="6" xfId="0" applyFont="1" applyBorder="1" applyAlignment="1" applyProtection="1">
      <alignment horizontal="center" vertical="center"/>
    </xf>
    <xf numFmtId="0" fontId="22" fillId="0" borderId="6" xfId="0" applyFont="1" applyBorder="1" applyAlignment="1" applyProtection="1">
      <alignment horizontal="center" vertical="center"/>
    </xf>
    <xf numFmtId="0" fontId="24" fillId="0" borderId="6" xfId="0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 vertical="center"/>
    </xf>
    <xf numFmtId="0" fontId="28" fillId="0" borderId="6" xfId="0" applyFont="1" applyBorder="1" applyAlignment="1" applyProtection="1">
      <alignment horizontal="center" vertical="center"/>
    </xf>
    <xf numFmtId="0" fontId="30" fillId="0" borderId="6" xfId="0" applyFont="1" applyBorder="1" applyAlignment="1" applyProtection="1">
      <alignment horizontal="center" vertical="center"/>
    </xf>
    <xf numFmtId="0" fontId="0" fillId="0" borderId="54" xfId="0" applyBorder="1" applyProtection="1"/>
    <xf numFmtId="0" fontId="0" fillId="0" borderId="55" xfId="0" applyBorder="1" applyProtection="1"/>
    <xf numFmtId="0" fontId="1" fillId="10" borderId="28" xfId="0" applyFont="1" applyFill="1" applyBorder="1" applyAlignment="1" applyProtection="1">
      <alignment horizontal="center" vertical="center"/>
    </xf>
    <xf numFmtId="0" fontId="1" fillId="10" borderId="28" xfId="0" applyFont="1" applyFill="1" applyBorder="1" applyAlignment="1" applyProtection="1">
      <alignment horizontal="center" vertical="center"/>
    </xf>
    <xf numFmtId="0" fontId="31" fillId="13" borderId="28" xfId="0" applyFont="1" applyFill="1" applyBorder="1" applyAlignment="1" applyProtection="1">
      <alignment horizontal="center" vertical="center"/>
    </xf>
    <xf numFmtId="0" fontId="15" fillId="9" borderId="28" xfId="0" applyFont="1" applyFill="1" applyBorder="1" applyAlignment="1" applyProtection="1">
      <alignment horizontal="center" vertical="center" wrapText="1"/>
    </xf>
    <xf numFmtId="0" fontId="19" fillId="9" borderId="28" xfId="0" applyFont="1" applyFill="1" applyBorder="1" applyAlignment="1" applyProtection="1">
      <alignment horizontal="center" vertical="center" wrapText="1"/>
    </xf>
    <xf numFmtId="0" fontId="17" fillId="9" borderId="50" xfId="0" applyFont="1" applyFill="1" applyBorder="1" applyAlignment="1" applyProtection="1">
      <alignment horizontal="center" vertical="center" wrapText="1"/>
    </xf>
    <xf numFmtId="0" fontId="1" fillId="11" borderId="28" xfId="0" applyFont="1" applyFill="1" applyBorder="1" applyAlignment="1" applyProtection="1">
      <alignment horizontal="center" vertical="center"/>
    </xf>
    <xf numFmtId="0" fontId="16" fillId="9" borderId="28" xfId="0" applyFont="1" applyFill="1" applyBorder="1" applyAlignment="1" applyProtection="1">
      <alignment horizontal="center" vertical="center" wrapText="1"/>
    </xf>
    <xf numFmtId="0" fontId="17" fillId="9" borderId="51" xfId="0" applyFont="1" applyFill="1" applyBorder="1" applyAlignment="1" applyProtection="1">
      <alignment horizontal="center" vertical="center" wrapText="1"/>
    </xf>
    <xf numFmtId="0" fontId="15" fillId="9" borderId="28" xfId="0" applyFont="1" applyFill="1" applyBorder="1" applyAlignment="1" applyProtection="1">
      <alignment horizontal="center" vertical="center" wrapText="1"/>
    </xf>
    <xf numFmtId="0" fontId="17" fillId="9" borderId="52" xfId="0" applyFont="1" applyFill="1" applyBorder="1" applyAlignment="1" applyProtection="1">
      <alignment horizontal="center" vertical="center" wrapText="1"/>
    </xf>
    <xf numFmtId="169" fontId="17" fillId="5" borderId="28" xfId="0" applyNumberFormat="1" applyFont="1" applyFill="1" applyBorder="1" applyAlignment="1" applyProtection="1">
      <alignment horizontal="center" vertical="center"/>
    </xf>
    <xf numFmtId="167" fontId="15" fillId="3" borderId="28" xfId="0" applyNumberFormat="1" applyFont="1" applyFill="1" applyBorder="1" applyAlignment="1" applyProtection="1">
      <alignment horizontal="center" vertical="center"/>
    </xf>
    <xf numFmtId="168" fontId="15" fillId="3" borderId="28" xfId="0" applyNumberFormat="1" applyFont="1" applyFill="1" applyBorder="1" applyAlignment="1" applyProtection="1">
      <alignment horizontal="center" vertical="center"/>
    </xf>
    <xf numFmtId="0" fontId="12" fillId="5" borderId="28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 wrapText="1"/>
    </xf>
    <xf numFmtId="0" fontId="6" fillId="4" borderId="2" xfId="0" applyFont="1" applyFill="1" applyBorder="1" applyAlignment="1" applyProtection="1">
      <alignment horizontal="center" vertical="center" wrapText="1"/>
    </xf>
    <xf numFmtId="0" fontId="2" fillId="4" borderId="10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0" fontId="4" fillId="3" borderId="5" xfId="0" applyFont="1" applyFill="1" applyBorder="1" applyAlignment="1" applyProtection="1">
      <alignment horizontal="center" vertical="center" wrapText="1"/>
    </xf>
    <xf numFmtId="0" fontId="2" fillId="4" borderId="6" xfId="0" applyFont="1" applyFill="1" applyBorder="1" applyAlignment="1" applyProtection="1">
      <alignment horizontal="center" vertical="center" wrapText="1"/>
    </xf>
    <xf numFmtId="0" fontId="6" fillId="4" borderId="6" xfId="0" applyFont="1" applyFill="1" applyBorder="1" applyAlignment="1" applyProtection="1">
      <alignment horizontal="center" vertical="center" wrapText="1"/>
    </xf>
    <xf numFmtId="0" fontId="2" fillId="4" borderId="11" xfId="0" applyFont="1" applyFill="1" applyBorder="1" applyAlignment="1" applyProtection="1">
      <alignment horizontal="center" vertical="center" wrapText="1"/>
    </xf>
    <xf numFmtId="0" fontId="2" fillId="4" borderId="6" xfId="0" applyFont="1" applyFill="1" applyBorder="1" applyAlignment="1" applyProtection="1">
      <alignment vertical="center" wrapText="1"/>
    </xf>
    <xf numFmtId="0" fontId="2" fillId="4" borderId="6" xfId="0" applyFont="1" applyFill="1" applyBorder="1" applyAlignment="1" applyProtection="1">
      <alignment vertical="center" wrapText="1"/>
    </xf>
    <xf numFmtId="0" fontId="2" fillId="4" borderId="11" xfId="0" applyFont="1" applyFill="1" applyBorder="1" applyAlignment="1" applyProtection="1">
      <alignment vertical="center" wrapText="1"/>
    </xf>
    <xf numFmtId="0" fontId="2" fillId="4" borderId="11" xfId="0" applyFont="1" applyFill="1" applyBorder="1" applyAlignment="1" applyProtection="1">
      <alignment vertical="center" wrapText="1"/>
    </xf>
    <xf numFmtId="165" fontId="2" fillId="4" borderId="6" xfId="0" applyNumberFormat="1" applyFont="1" applyFill="1" applyBorder="1" applyAlignment="1" applyProtection="1">
      <alignment horizontal="center" vertical="center" wrapText="1"/>
    </xf>
    <xf numFmtId="165" fontId="2" fillId="4" borderId="11" xfId="0" applyNumberFormat="1" applyFont="1" applyFill="1" applyBorder="1" applyAlignment="1" applyProtection="1">
      <alignment horizontal="center" vertical="center" wrapText="1"/>
    </xf>
    <xf numFmtId="0" fontId="4" fillId="3" borderId="13" xfId="0" applyFont="1" applyFill="1" applyBorder="1" applyAlignment="1" applyProtection="1">
      <alignment horizontal="center" vertical="center" wrapText="1"/>
    </xf>
    <xf numFmtId="0" fontId="2" fillId="4" borderId="14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2" fillId="4" borderId="12" xfId="0" applyFont="1" applyFill="1" applyBorder="1" applyAlignment="1" applyProtection="1">
      <alignment horizontal="center" vertical="center" wrapText="1"/>
    </xf>
    <xf numFmtId="0" fontId="4" fillId="4" borderId="14" xfId="0" applyFont="1" applyFill="1" applyBorder="1" applyAlignment="1" applyProtection="1">
      <alignment horizontal="center" vertical="center" wrapText="1"/>
    </xf>
    <xf numFmtId="164" fontId="4" fillId="4" borderId="14" xfId="0" applyNumberFormat="1" applyFont="1" applyFill="1" applyBorder="1" applyAlignment="1" applyProtection="1">
      <alignment horizontal="center" vertical="center" wrapText="1"/>
    </xf>
    <xf numFmtId="164" fontId="4" fillId="4" borderId="12" xfId="0" applyNumberFormat="1" applyFont="1" applyFill="1" applyBorder="1" applyAlignment="1" applyProtection="1">
      <alignment horizontal="center" vertical="center" wrapText="1"/>
    </xf>
    <xf numFmtId="0" fontId="2" fillId="4" borderId="14" xfId="0" applyFont="1" applyFill="1" applyBorder="1" applyAlignment="1" applyProtection="1">
      <alignment vertical="center" wrapText="1"/>
    </xf>
    <xf numFmtId="0" fontId="2" fillId="4" borderId="12" xfId="0" applyFont="1" applyFill="1" applyBorder="1" applyAlignment="1" applyProtection="1">
      <alignment vertical="center" wrapText="1"/>
    </xf>
    <xf numFmtId="0" fontId="5" fillId="4" borderId="2" xfId="0" applyFont="1" applyFill="1" applyBorder="1" applyAlignment="1" applyProtection="1">
      <alignment horizontal="center" vertical="center" wrapText="1"/>
    </xf>
    <xf numFmtId="0" fontId="5" fillId="4" borderId="6" xfId="0" applyFont="1" applyFill="1" applyBorder="1" applyAlignment="1" applyProtection="1">
      <alignment horizontal="center" vertical="center" wrapText="1"/>
    </xf>
    <xf numFmtId="0" fontId="5" fillId="4" borderId="14" xfId="0" applyFont="1" applyFill="1" applyBorder="1" applyAlignment="1" applyProtection="1">
      <alignment horizontal="center" vertical="center" wrapText="1"/>
    </xf>
    <xf numFmtId="0" fontId="7" fillId="4" borderId="2" xfId="0" applyFont="1" applyFill="1" applyBorder="1" applyAlignment="1" applyProtection="1">
      <alignment horizontal="center" vertical="center" wrapText="1"/>
    </xf>
    <xf numFmtId="0" fontId="7" fillId="4" borderId="6" xfId="0" applyFont="1" applyFill="1" applyBorder="1" applyAlignment="1" applyProtection="1">
      <alignment horizontal="center" vertical="center" wrapText="1"/>
    </xf>
    <xf numFmtId="0" fontId="7" fillId="4" borderId="14" xfId="0" applyFont="1" applyFill="1" applyBorder="1" applyAlignment="1" applyProtection="1">
      <alignment horizontal="center" vertical="center" wrapText="1"/>
    </xf>
    <xf numFmtId="0" fontId="8" fillId="4" borderId="2" xfId="0" applyFont="1" applyFill="1" applyBorder="1" applyAlignment="1" applyProtection="1">
      <alignment horizontal="center" vertical="center" wrapText="1"/>
    </xf>
    <xf numFmtId="0" fontId="8" fillId="4" borderId="6" xfId="0" applyFont="1" applyFill="1" applyBorder="1" applyAlignment="1" applyProtection="1">
      <alignment horizontal="center" vertical="center" wrapText="1"/>
    </xf>
    <xf numFmtId="0" fontId="8" fillId="4" borderId="14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0" fontId="8" fillId="4" borderId="4" xfId="0" applyFont="1" applyFill="1" applyBorder="1" applyAlignment="1" applyProtection="1">
      <alignment horizontal="center" vertical="center" wrapText="1"/>
    </xf>
    <xf numFmtId="0" fontId="2" fillId="4" borderId="15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164" fontId="4" fillId="4" borderId="4" xfId="0" applyNumberFormat="1" applyFont="1" applyFill="1" applyBorder="1" applyAlignment="1" applyProtection="1">
      <alignment horizontal="center" vertical="center" wrapText="1"/>
    </xf>
    <xf numFmtId="164" fontId="4" fillId="4" borderId="15" xfId="0" applyNumberFormat="1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5" xfId="0" applyFont="1" applyFill="1" applyBorder="1" applyAlignment="1" applyProtection="1">
      <alignment vertical="center" wrapText="1"/>
    </xf>
    <xf numFmtId="0" fontId="4" fillId="3" borderId="16" xfId="0" applyFont="1" applyFill="1" applyBorder="1" applyAlignment="1" applyProtection="1">
      <alignment horizontal="center" vertical="center" wrapText="1"/>
    </xf>
    <xf numFmtId="0" fontId="2" fillId="4" borderId="17" xfId="0" applyFont="1" applyFill="1" applyBorder="1" applyAlignment="1" applyProtection="1">
      <alignment horizontal="center" vertical="center" wrapText="1"/>
    </xf>
    <xf numFmtId="0" fontId="8" fillId="4" borderId="17" xfId="0" applyFont="1" applyFill="1" applyBorder="1" applyAlignment="1" applyProtection="1">
      <alignment horizontal="center" vertical="center" wrapText="1"/>
    </xf>
    <xf numFmtId="0" fontId="2" fillId="4" borderId="18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" fillId="2" borderId="18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4" fillId="3" borderId="20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vertical="center" wrapText="1"/>
    </xf>
    <xf numFmtId="0" fontId="4" fillId="3" borderId="22" xfId="0" applyFont="1" applyFill="1" applyBorder="1" applyAlignment="1" applyProtection="1">
      <alignment horizontal="center" vertical="center" wrapText="1"/>
    </xf>
    <xf numFmtId="0" fontId="2" fillId="4" borderId="23" xfId="0" applyFont="1" applyFill="1" applyBorder="1" applyAlignment="1" applyProtection="1">
      <alignment horizontal="center" vertical="center" wrapText="1"/>
    </xf>
    <xf numFmtId="0" fontId="8" fillId="4" borderId="23" xfId="0" applyFont="1" applyFill="1" applyBorder="1" applyAlignment="1" applyProtection="1">
      <alignment horizontal="center" vertical="center" wrapText="1"/>
    </xf>
    <xf numFmtId="0" fontId="2" fillId="4" borderId="24" xfId="0" applyFont="1" applyFill="1" applyBorder="1" applyAlignment="1" applyProtection="1">
      <alignment horizontal="center" vertical="center" wrapText="1"/>
    </xf>
    <xf numFmtId="0" fontId="4" fillId="4" borderId="23" xfId="0" applyFont="1" applyFill="1" applyBorder="1" applyAlignment="1" applyProtection="1">
      <alignment horizontal="center" vertical="center" wrapText="1"/>
    </xf>
    <xf numFmtId="164" fontId="4" fillId="4" borderId="23" xfId="0" applyNumberFormat="1" applyFont="1" applyFill="1" applyBorder="1" applyAlignment="1" applyProtection="1">
      <alignment horizontal="center" vertical="center" wrapText="1"/>
    </xf>
    <xf numFmtId="164" fontId="4" fillId="4" borderId="24" xfId="0" applyNumberFormat="1" applyFont="1" applyFill="1" applyBorder="1" applyAlignment="1" applyProtection="1">
      <alignment horizontal="center" vertical="center" wrapText="1"/>
    </xf>
    <xf numFmtId="0" fontId="2" fillId="4" borderId="23" xfId="0" applyFont="1" applyFill="1" applyBorder="1" applyAlignment="1" applyProtection="1">
      <alignment vertical="center" wrapText="1"/>
    </xf>
    <xf numFmtId="0" fontId="2" fillId="4" borderId="24" xfId="0" applyFont="1" applyFill="1" applyBorder="1" applyAlignment="1" applyProtection="1">
      <alignment vertical="center" wrapText="1"/>
    </xf>
    <xf numFmtId="0" fontId="2" fillId="4" borderId="25" xfId="0" applyFont="1" applyFill="1" applyBorder="1" applyAlignment="1" applyProtection="1">
      <alignment vertical="center" wrapText="1"/>
    </xf>
    <xf numFmtId="0" fontId="4" fillId="3" borderId="29" xfId="0" applyFont="1" applyFill="1" applyBorder="1" applyAlignment="1" applyProtection="1">
      <alignment horizontal="center" vertical="center" wrapText="1"/>
    </xf>
    <xf numFmtId="0" fontId="2" fillId="4" borderId="30" xfId="0" applyFont="1" applyFill="1" applyBorder="1" applyAlignment="1" applyProtection="1">
      <alignment horizontal="center" vertical="center" wrapText="1"/>
    </xf>
    <xf numFmtId="0" fontId="9" fillId="4" borderId="30" xfId="0" applyFont="1" applyFill="1" applyBorder="1" applyAlignment="1" applyProtection="1">
      <alignment horizontal="center" vertical="center" wrapText="1"/>
    </xf>
    <xf numFmtId="0" fontId="2" fillId="4" borderId="31" xfId="0" applyFont="1" applyFill="1" applyBorder="1" applyAlignment="1" applyProtection="1">
      <alignment horizontal="center" vertical="center" wrapText="1"/>
    </xf>
    <xf numFmtId="0" fontId="1" fillId="2" borderId="30" xfId="0" applyFont="1" applyFill="1" applyBorder="1" applyAlignment="1" applyProtection="1">
      <alignment horizontal="center" vertical="center" wrapText="1"/>
    </xf>
    <xf numFmtId="0" fontId="1" fillId="2" borderId="31" xfId="0" applyFont="1" applyFill="1" applyBorder="1" applyAlignment="1" applyProtection="1">
      <alignment horizontal="center" vertical="center" wrapText="1"/>
    </xf>
    <xf numFmtId="0" fontId="9" fillId="4" borderId="6" xfId="0" applyFont="1" applyFill="1" applyBorder="1" applyAlignment="1" applyProtection="1">
      <alignment horizontal="center" vertical="center" wrapText="1"/>
    </xf>
    <xf numFmtId="0" fontId="9" fillId="4" borderId="14" xfId="0" applyFont="1" applyFill="1" applyBorder="1" applyAlignment="1" applyProtection="1">
      <alignment horizontal="center" vertical="center" wrapText="1"/>
    </xf>
    <xf numFmtId="0" fontId="9" fillId="4" borderId="2" xfId="0" applyFont="1" applyFill="1" applyBorder="1" applyAlignment="1" applyProtection="1">
      <alignment horizontal="center" vertical="center" wrapText="1"/>
    </xf>
    <xf numFmtId="0" fontId="4" fillId="4" borderId="32" xfId="0" applyFont="1" applyFill="1" applyBorder="1" applyAlignment="1" applyProtection="1">
      <alignment horizontal="center" vertical="center" wrapText="1"/>
    </xf>
    <xf numFmtId="0" fontId="18" fillId="3" borderId="28" xfId="0" applyNumberFormat="1" applyFont="1" applyFill="1" applyBorder="1" applyAlignment="1" applyProtection="1">
      <alignment horizontal="center" vertical="center"/>
    </xf>
    <xf numFmtId="0" fontId="17" fillId="5" borderId="28" xfId="0" applyNumberFormat="1" applyFont="1" applyFill="1" applyBorder="1" applyAlignment="1" applyProtection="1">
      <alignment horizontal="center" vertical="center"/>
    </xf>
    <xf numFmtId="0" fontId="32" fillId="3" borderId="28" xfId="0" applyNumberFormat="1" applyFont="1" applyFill="1" applyBorder="1" applyAlignment="1" applyProtection="1">
      <alignment horizontal="center" vertical="center"/>
    </xf>
    <xf numFmtId="0" fontId="17" fillId="3" borderId="28" xfId="0" applyNumberFormat="1" applyFont="1" applyFill="1" applyBorder="1" applyAlignment="1" applyProtection="1">
      <alignment horizontal="center" vertical="center"/>
    </xf>
  </cellXfs>
  <cellStyles count="3">
    <cellStyle name="Normal" xfId="1" xr:uid="{00000000-0005-0000-0000-000000000000}"/>
    <cellStyle name="Гиперссылка" xfId="2" builtinId="8"/>
    <cellStyle name="Обычный" xfId="0" builtinId="0"/>
  </cellStyles>
  <dxfs count="0"/>
  <tableStyles count="0" defaultTableStyle="TableStyleMedium2" defaultPivotStyle="PivotStyleLight16"/>
  <colors>
    <mruColors>
      <color rgb="FF183B56"/>
      <color rgb="FFFDF0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8.png"/><Relationship Id="rId117" Type="http://schemas.openxmlformats.org/officeDocument/2006/relationships/image" Target="../media/image9.png"/><Relationship Id="rId21" Type="http://schemas.openxmlformats.org/officeDocument/2006/relationships/image" Target="../media/image43.png"/><Relationship Id="rId42" Type="http://schemas.openxmlformats.org/officeDocument/2006/relationships/image" Target="../media/image64.png"/><Relationship Id="rId47" Type="http://schemas.openxmlformats.org/officeDocument/2006/relationships/image" Target="../media/image69.png"/><Relationship Id="rId63" Type="http://schemas.openxmlformats.org/officeDocument/2006/relationships/image" Target="../media/image80.png"/><Relationship Id="rId68" Type="http://schemas.openxmlformats.org/officeDocument/2006/relationships/image" Target="../media/image85.png"/><Relationship Id="rId84" Type="http://schemas.openxmlformats.org/officeDocument/2006/relationships/image" Target="../media/image101.png"/><Relationship Id="rId89" Type="http://schemas.openxmlformats.org/officeDocument/2006/relationships/image" Target="../media/image12.png"/><Relationship Id="rId112" Type="http://schemas.openxmlformats.org/officeDocument/2006/relationships/image" Target="../media/image125.png"/><Relationship Id="rId133" Type="http://schemas.openxmlformats.org/officeDocument/2006/relationships/image" Target="../media/image139.png"/><Relationship Id="rId138" Type="http://schemas.openxmlformats.org/officeDocument/2006/relationships/image" Target="../media/image144.png"/><Relationship Id="rId154" Type="http://schemas.openxmlformats.org/officeDocument/2006/relationships/image" Target="../media/image158.png"/><Relationship Id="rId16" Type="http://schemas.openxmlformats.org/officeDocument/2006/relationships/image" Target="../media/image38.png"/><Relationship Id="rId107" Type="http://schemas.openxmlformats.org/officeDocument/2006/relationships/image" Target="../media/image120.png"/><Relationship Id="rId11" Type="http://schemas.openxmlformats.org/officeDocument/2006/relationships/image" Target="../media/image33.png"/><Relationship Id="rId32" Type="http://schemas.openxmlformats.org/officeDocument/2006/relationships/image" Target="../media/image54.png"/><Relationship Id="rId37" Type="http://schemas.openxmlformats.org/officeDocument/2006/relationships/image" Target="../media/image59.png"/><Relationship Id="rId53" Type="http://schemas.openxmlformats.org/officeDocument/2006/relationships/image" Target="../media/image75.png"/><Relationship Id="rId58" Type="http://schemas.openxmlformats.org/officeDocument/2006/relationships/image" Target="../media/image22.png"/><Relationship Id="rId74" Type="http://schemas.openxmlformats.org/officeDocument/2006/relationships/image" Target="../media/image91.png"/><Relationship Id="rId79" Type="http://schemas.openxmlformats.org/officeDocument/2006/relationships/image" Target="../media/image96.png"/><Relationship Id="rId102" Type="http://schemas.openxmlformats.org/officeDocument/2006/relationships/image" Target="../media/image115.png"/><Relationship Id="rId123" Type="http://schemas.openxmlformats.org/officeDocument/2006/relationships/image" Target="../media/image132.png"/><Relationship Id="rId128" Type="http://schemas.openxmlformats.org/officeDocument/2006/relationships/image" Target="../media/image137.png"/><Relationship Id="rId144" Type="http://schemas.openxmlformats.org/officeDocument/2006/relationships/image" Target="../media/image2.png"/><Relationship Id="rId149" Type="http://schemas.openxmlformats.org/officeDocument/2006/relationships/image" Target="../media/image153.png"/><Relationship Id="rId5" Type="http://schemas.openxmlformats.org/officeDocument/2006/relationships/image" Target="../media/image16.png"/><Relationship Id="rId90" Type="http://schemas.openxmlformats.org/officeDocument/2006/relationships/image" Target="../media/image11.png"/><Relationship Id="rId95" Type="http://schemas.openxmlformats.org/officeDocument/2006/relationships/image" Target="../media/image108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Relationship Id="rId43" Type="http://schemas.openxmlformats.org/officeDocument/2006/relationships/image" Target="../media/image65.png"/><Relationship Id="rId48" Type="http://schemas.openxmlformats.org/officeDocument/2006/relationships/image" Target="../media/image70.png"/><Relationship Id="rId64" Type="http://schemas.openxmlformats.org/officeDocument/2006/relationships/image" Target="../media/image81.png"/><Relationship Id="rId69" Type="http://schemas.openxmlformats.org/officeDocument/2006/relationships/image" Target="../media/image86.png"/><Relationship Id="rId113" Type="http://schemas.openxmlformats.org/officeDocument/2006/relationships/image" Target="../media/image126.png"/><Relationship Id="rId118" Type="http://schemas.openxmlformats.org/officeDocument/2006/relationships/image" Target="../media/image8.png"/><Relationship Id="rId134" Type="http://schemas.openxmlformats.org/officeDocument/2006/relationships/image" Target="../media/image140.png"/><Relationship Id="rId139" Type="http://schemas.openxmlformats.org/officeDocument/2006/relationships/image" Target="../media/image145.png"/><Relationship Id="rId80" Type="http://schemas.openxmlformats.org/officeDocument/2006/relationships/image" Target="../media/image97.png"/><Relationship Id="rId85" Type="http://schemas.openxmlformats.org/officeDocument/2006/relationships/image" Target="../media/image102.png"/><Relationship Id="rId150" Type="http://schemas.openxmlformats.org/officeDocument/2006/relationships/image" Target="../media/image154.png"/><Relationship Id="rId155" Type="http://schemas.openxmlformats.org/officeDocument/2006/relationships/image" Target="../media/image15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5.png"/><Relationship Id="rId38" Type="http://schemas.openxmlformats.org/officeDocument/2006/relationships/image" Target="../media/image60.png"/><Relationship Id="rId46" Type="http://schemas.openxmlformats.org/officeDocument/2006/relationships/image" Target="../media/image68.png"/><Relationship Id="rId59" Type="http://schemas.openxmlformats.org/officeDocument/2006/relationships/image" Target="../media/image23.png"/><Relationship Id="rId67" Type="http://schemas.openxmlformats.org/officeDocument/2006/relationships/image" Target="../media/image84.png"/><Relationship Id="rId103" Type="http://schemas.openxmlformats.org/officeDocument/2006/relationships/image" Target="../media/image116.png"/><Relationship Id="rId108" Type="http://schemas.openxmlformats.org/officeDocument/2006/relationships/image" Target="../media/image121.png"/><Relationship Id="rId116" Type="http://schemas.openxmlformats.org/officeDocument/2006/relationships/image" Target="../media/image129.png"/><Relationship Id="rId124" Type="http://schemas.openxmlformats.org/officeDocument/2006/relationships/image" Target="../media/image133.png"/><Relationship Id="rId129" Type="http://schemas.openxmlformats.org/officeDocument/2006/relationships/image" Target="../media/image138.png"/><Relationship Id="rId137" Type="http://schemas.openxmlformats.org/officeDocument/2006/relationships/image" Target="../media/image143.png"/><Relationship Id="rId20" Type="http://schemas.openxmlformats.org/officeDocument/2006/relationships/image" Target="../media/image42.png"/><Relationship Id="rId41" Type="http://schemas.openxmlformats.org/officeDocument/2006/relationships/image" Target="../media/image63.png"/><Relationship Id="rId54" Type="http://schemas.openxmlformats.org/officeDocument/2006/relationships/image" Target="../media/image76.png"/><Relationship Id="rId62" Type="http://schemas.openxmlformats.org/officeDocument/2006/relationships/image" Target="../media/image79.png"/><Relationship Id="rId70" Type="http://schemas.openxmlformats.org/officeDocument/2006/relationships/image" Target="../media/image87.png"/><Relationship Id="rId75" Type="http://schemas.openxmlformats.org/officeDocument/2006/relationships/image" Target="../media/image92.png"/><Relationship Id="rId83" Type="http://schemas.openxmlformats.org/officeDocument/2006/relationships/image" Target="../media/image100.png"/><Relationship Id="rId88" Type="http://schemas.openxmlformats.org/officeDocument/2006/relationships/image" Target="../media/image105.png"/><Relationship Id="rId91" Type="http://schemas.openxmlformats.org/officeDocument/2006/relationships/image" Target="../media/image13.png"/><Relationship Id="rId96" Type="http://schemas.openxmlformats.org/officeDocument/2006/relationships/image" Target="../media/image109.png"/><Relationship Id="rId111" Type="http://schemas.openxmlformats.org/officeDocument/2006/relationships/image" Target="../media/image124.png"/><Relationship Id="rId132" Type="http://schemas.openxmlformats.org/officeDocument/2006/relationships/image" Target="../media/image4.png"/><Relationship Id="rId140" Type="http://schemas.openxmlformats.org/officeDocument/2006/relationships/image" Target="../media/image146.png"/><Relationship Id="rId145" Type="http://schemas.openxmlformats.org/officeDocument/2006/relationships/image" Target="../media/image1.png"/><Relationship Id="rId153" Type="http://schemas.openxmlformats.org/officeDocument/2006/relationships/image" Target="../media/image157.png"/><Relationship Id="rId1" Type="http://schemas.openxmlformats.org/officeDocument/2006/relationships/image" Target="../media/image29.png"/><Relationship Id="rId6" Type="http://schemas.openxmlformats.org/officeDocument/2006/relationships/image" Target="../media/image1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36" Type="http://schemas.openxmlformats.org/officeDocument/2006/relationships/image" Target="../media/image58.png"/><Relationship Id="rId49" Type="http://schemas.openxmlformats.org/officeDocument/2006/relationships/image" Target="../media/image71.png"/><Relationship Id="rId57" Type="http://schemas.openxmlformats.org/officeDocument/2006/relationships/image" Target="../media/image21.png"/><Relationship Id="rId106" Type="http://schemas.openxmlformats.org/officeDocument/2006/relationships/image" Target="../media/image119.png"/><Relationship Id="rId114" Type="http://schemas.openxmlformats.org/officeDocument/2006/relationships/image" Target="../media/image127.png"/><Relationship Id="rId119" Type="http://schemas.openxmlformats.org/officeDocument/2006/relationships/image" Target="../media/image7.png"/><Relationship Id="rId127" Type="http://schemas.openxmlformats.org/officeDocument/2006/relationships/image" Target="../media/image136.png"/><Relationship Id="rId10" Type="http://schemas.openxmlformats.org/officeDocument/2006/relationships/image" Target="../media/image32.png"/><Relationship Id="rId31" Type="http://schemas.openxmlformats.org/officeDocument/2006/relationships/image" Target="../media/image53.png"/><Relationship Id="rId44" Type="http://schemas.openxmlformats.org/officeDocument/2006/relationships/image" Target="../media/image66.png"/><Relationship Id="rId52" Type="http://schemas.openxmlformats.org/officeDocument/2006/relationships/image" Target="../media/image74.png"/><Relationship Id="rId60" Type="http://schemas.openxmlformats.org/officeDocument/2006/relationships/image" Target="../media/image77.png"/><Relationship Id="rId65" Type="http://schemas.openxmlformats.org/officeDocument/2006/relationships/image" Target="../media/image82.png"/><Relationship Id="rId73" Type="http://schemas.openxmlformats.org/officeDocument/2006/relationships/image" Target="../media/image90.png"/><Relationship Id="rId78" Type="http://schemas.openxmlformats.org/officeDocument/2006/relationships/image" Target="../media/image95.png"/><Relationship Id="rId81" Type="http://schemas.openxmlformats.org/officeDocument/2006/relationships/image" Target="../media/image98.png"/><Relationship Id="rId86" Type="http://schemas.openxmlformats.org/officeDocument/2006/relationships/image" Target="../media/image103.png"/><Relationship Id="rId94" Type="http://schemas.openxmlformats.org/officeDocument/2006/relationships/image" Target="../media/image107.png"/><Relationship Id="rId99" Type="http://schemas.openxmlformats.org/officeDocument/2006/relationships/image" Target="../media/image112.png"/><Relationship Id="rId101" Type="http://schemas.openxmlformats.org/officeDocument/2006/relationships/image" Target="../media/image114.png"/><Relationship Id="rId122" Type="http://schemas.openxmlformats.org/officeDocument/2006/relationships/image" Target="../media/image131.png"/><Relationship Id="rId130" Type="http://schemas.openxmlformats.org/officeDocument/2006/relationships/image" Target="../media/image5.png"/><Relationship Id="rId135" Type="http://schemas.openxmlformats.org/officeDocument/2006/relationships/image" Target="../media/image141.png"/><Relationship Id="rId143" Type="http://schemas.openxmlformats.org/officeDocument/2006/relationships/image" Target="../media/image149.png"/><Relationship Id="rId148" Type="http://schemas.openxmlformats.org/officeDocument/2006/relationships/image" Target="../media/image152.png"/><Relationship Id="rId151" Type="http://schemas.openxmlformats.org/officeDocument/2006/relationships/image" Target="../media/image155.png"/><Relationship Id="rId4" Type="http://schemas.openxmlformats.org/officeDocument/2006/relationships/image" Target="../media/image14.png"/><Relationship Id="rId9" Type="http://schemas.openxmlformats.org/officeDocument/2006/relationships/image" Target="../media/image31.png"/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39" Type="http://schemas.openxmlformats.org/officeDocument/2006/relationships/image" Target="../media/image61.png"/><Relationship Id="rId109" Type="http://schemas.openxmlformats.org/officeDocument/2006/relationships/image" Target="../media/image122.png"/><Relationship Id="rId34" Type="http://schemas.openxmlformats.org/officeDocument/2006/relationships/image" Target="../media/image56.png"/><Relationship Id="rId50" Type="http://schemas.openxmlformats.org/officeDocument/2006/relationships/image" Target="../media/image72.png"/><Relationship Id="rId55" Type="http://schemas.openxmlformats.org/officeDocument/2006/relationships/image" Target="../media/image20.png"/><Relationship Id="rId76" Type="http://schemas.openxmlformats.org/officeDocument/2006/relationships/image" Target="../media/image93.png"/><Relationship Id="rId97" Type="http://schemas.openxmlformats.org/officeDocument/2006/relationships/image" Target="../media/image110.png"/><Relationship Id="rId104" Type="http://schemas.openxmlformats.org/officeDocument/2006/relationships/image" Target="../media/image117.png"/><Relationship Id="rId120" Type="http://schemas.openxmlformats.org/officeDocument/2006/relationships/image" Target="../media/image6.png"/><Relationship Id="rId125" Type="http://schemas.openxmlformats.org/officeDocument/2006/relationships/image" Target="../media/image134.png"/><Relationship Id="rId141" Type="http://schemas.openxmlformats.org/officeDocument/2006/relationships/image" Target="../media/image147.png"/><Relationship Id="rId146" Type="http://schemas.openxmlformats.org/officeDocument/2006/relationships/image" Target="../media/image150.png"/><Relationship Id="rId7" Type="http://schemas.openxmlformats.org/officeDocument/2006/relationships/image" Target="../media/image18.png"/><Relationship Id="rId71" Type="http://schemas.openxmlformats.org/officeDocument/2006/relationships/image" Target="../media/image88.png"/><Relationship Id="rId92" Type="http://schemas.openxmlformats.org/officeDocument/2006/relationships/image" Target="../media/image10.png"/><Relationship Id="rId2" Type="http://schemas.openxmlformats.org/officeDocument/2006/relationships/image" Target="../media/image30.png"/><Relationship Id="rId29" Type="http://schemas.openxmlformats.org/officeDocument/2006/relationships/image" Target="../media/image51.png"/><Relationship Id="rId24" Type="http://schemas.openxmlformats.org/officeDocument/2006/relationships/image" Target="../media/image46.png"/><Relationship Id="rId40" Type="http://schemas.openxmlformats.org/officeDocument/2006/relationships/image" Target="../media/image62.png"/><Relationship Id="rId45" Type="http://schemas.openxmlformats.org/officeDocument/2006/relationships/image" Target="../media/image67.png"/><Relationship Id="rId66" Type="http://schemas.openxmlformats.org/officeDocument/2006/relationships/image" Target="../media/image83.png"/><Relationship Id="rId87" Type="http://schemas.openxmlformats.org/officeDocument/2006/relationships/image" Target="../media/image104.png"/><Relationship Id="rId110" Type="http://schemas.openxmlformats.org/officeDocument/2006/relationships/image" Target="../media/image123.png"/><Relationship Id="rId115" Type="http://schemas.openxmlformats.org/officeDocument/2006/relationships/image" Target="../media/image128.png"/><Relationship Id="rId131" Type="http://schemas.openxmlformats.org/officeDocument/2006/relationships/image" Target="../media/image3.png"/><Relationship Id="rId136" Type="http://schemas.openxmlformats.org/officeDocument/2006/relationships/image" Target="../media/image142.png"/><Relationship Id="rId61" Type="http://schemas.openxmlformats.org/officeDocument/2006/relationships/image" Target="../media/image78.png"/><Relationship Id="rId82" Type="http://schemas.openxmlformats.org/officeDocument/2006/relationships/image" Target="../media/image99.png"/><Relationship Id="rId152" Type="http://schemas.openxmlformats.org/officeDocument/2006/relationships/image" Target="../media/image156.png"/><Relationship Id="rId19" Type="http://schemas.openxmlformats.org/officeDocument/2006/relationships/image" Target="../media/image41.png"/><Relationship Id="rId14" Type="http://schemas.openxmlformats.org/officeDocument/2006/relationships/image" Target="../media/image36.png"/><Relationship Id="rId30" Type="http://schemas.openxmlformats.org/officeDocument/2006/relationships/image" Target="../media/image52.png"/><Relationship Id="rId35" Type="http://schemas.openxmlformats.org/officeDocument/2006/relationships/image" Target="../media/image57.png"/><Relationship Id="rId56" Type="http://schemas.openxmlformats.org/officeDocument/2006/relationships/image" Target="../media/image19.png"/><Relationship Id="rId77" Type="http://schemas.openxmlformats.org/officeDocument/2006/relationships/image" Target="../media/image94.png"/><Relationship Id="rId100" Type="http://schemas.openxmlformats.org/officeDocument/2006/relationships/image" Target="../media/image113.png"/><Relationship Id="rId105" Type="http://schemas.openxmlformats.org/officeDocument/2006/relationships/image" Target="../media/image118.png"/><Relationship Id="rId126" Type="http://schemas.openxmlformats.org/officeDocument/2006/relationships/image" Target="../media/image135.png"/><Relationship Id="rId147" Type="http://schemas.openxmlformats.org/officeDocument/2006/relationships/image" Target="../media/image151.png"/><Relationship Id="rId8" Type="http://schemas.openxmlformats.org/officeDocument/2006/relationships/image" Target="../media/image24.png"/><Relationship Id="rId51" Type="http://schemas.openxmlformats.org/officeDocument/2006/relationships/image" Target="../media/image73.png"/><Relationship Id="rId72" Type="http://schemas.openxmlformats.org/officeDocument/2006/relationships/image" Target="../media/image89.png"/><Relationship Id="rId93" Type="http://schemas.openxmlformats.org/officeDocument/2006/relationships/image" Target="../media/image106.png"/><Relationship Id="rId98" Type="http://schemas.openxmlformats.org/officeDocument/2006/relationships/image" Target="../media/image111.png"/><Relationship Id="rId121" Type="http://schemas.openxmlformats.org/officeDocument/2006/relationships/image" Target="../media/image130.png"/><Relationship Id="rId142" Type="http://schemas.openxmlformats.org/officeDocument/2006/relationships/image" Target="../media/image148.png"/><Relationship Id="rId3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6.png"/><Relationship Id="rId18" Type="http://schemas.openxmlformats.org/officeDocument/2006/relationships/image" Target="../media/image171.png"/><Relationship Id="rId26" Type="http://schemas.openxmlformats.org/officeDocument/2006/relationships/image" Target="../media/image179.png"/><Relationship Id="rId39" Type="http://schemas.openxmlformats.org/officeDocument/2006/relationships/image" Target="../media/image20.png"/><Relationship Id="rId21" Type="http://schemas.openxmlformats.org/officeDocument/2006/relationships/image" Target="../media/image174.png"/><Relationship Id="rId34" Type="http://schemas.openxmlformats.org/officeDocument/2006/relationships/image" Target="../media/image187.png"/><Relationship Id="rId42" Type="http://schemas.openxmlformats.org/officeDocument/2006/relationships/image" Target="../media/image22.png"/><Relationship Id="rId47" Type="http://schemas.openxmlformats.org/officeDocument/2006/relationships/image" Target="../media/image195.png"/><Relationship Id="rId50" Type="http://schemas.openxmlformats.org/officeDocument/2006/relationships/image" Target="../media/image198.png"/><Relationship Id="rId55" Type="http://schemas.openxmlformats.org/officeDocument/2006/relationships/image" Target="../media/image199.png"/><Relationship Id="rId63" Type="http://schemas.openxmlformats.org/officeDocument/2006/relationships/image" Target="../media/image9.png"/><Relationship Id="rId68" Type="http://schemas.openxmlformats.org/officeDocument/2006/relationships/image" Target="../media/image208.png"/><Relationship Id="rId76" Type="http://schemas.openxmlformats.org/officeDocument/2006/relationships/image" Target="../media/image214.png"/><Relationship Id="rId84" Type="http://schemas.openxmlformats.org/officeDocument/2006/relationships/image" Target="../media/image220.png"/><Relationship Id="rId7" Type="http://schemas.openxmlformats.org/officeDocument/2006/relationships/image" Target="../media/image24.png"/><Relationship Id="rId71" Type="http://schemas.openxmlformats.org/officeDocument/2006/relationships/image" Target="../media/image211.png"/><Relationship Id="rId2" Type="http://schemas.openxmlformats.org/officeDocument/2006/relationships/image" Target="../media/image15.png"/><Relationship Id="rId16" Type="http://schemas.openxmlformats.org/officeDocument/2006/relationships/image" Target="../media/image169.png"/><Relationship Id="rId29" Type="http://schemas.openxmlformats.org/officeDocument/2006/relationships/image" Target="../media/image182.png"/><Relationship Id="rId11" Type="http://schemas.openxmlformats.org/officeDocument/2006/relationships/image" Target="../media/image164.png"/><Relationship Id="rId24" Type="http://schemas.openxmlformats.org/officeDocument/2006/relationships/image" Target="../media/image177.png"/><Relationship Id="rId32" Type="http://schemas.openxmlformats.org/officeDocument/2006/relationships/image" Target="../media/image185.png"/><Relationship Id="rId37" Type="http://schemas.openxmlformats.org/officeDocument/2006/relationships/image" Target="../media/image190.png"/><Relationship Id="rId40" Type="http://schemas.openxmlformats.org/officeDocument/2006/relationships/image" Target="../media/image19.png"/><Relationship Id="rId45" Type="http://schemas.openxmlformats.org/officeDocument/2006/relationships/image" Target="../media/image193.png"/><Relationship Id="rId53" Type="http://schemas.openxmlformats.org/officeDocument/2006/relationships/image" Target="../media/image12.png"/><Relationship Id="rId58" Type="http://schemas.openxmlformats.org/officeDocument/2006/relationships/image" Target="../media/image202.png"/><Relationship Id="rId66" Type="http://schemas.openxmlformats.org/officeDocument/2006/relationships/image" Target="../media/image206.png"/><Relationship Id="rId74" Type="http://schemas.openxmlformats.org/officeDocument/2006/relationships/image" Target="../media/image213.png"/><Relationship Id="rId79" Type="http://schemas.openxmlformats.org/officeDocument/2006/relationships/image" Target="../media/image217.png"/><Relationship Id="rId5" Type="http://schemas.openxmlformats.org/officeDocument/2006/relationships/image" Target="../media/image17.png"/><Relationship Id="rId61" Type="http://schemas.openxmlformats.org/officeDocument/2006/relationships/image" Target="../media/image8.png"/><Relationship Id="rId82" Type="http://schemas.openxmlformats.org/officeDocument/2006/relationships/image" Target="../media/image218.png"/><Relationship Id="rId19" Type="http://schemas.openxmlformats.org/officeDocument/2006/relationships/image" Target="../media/image172.png"/><Relationship Id="rId4" Type="http://schemas.openxmlformats.org/officeDocument/2006/relationships/image" Target="../media/image16.png"/><Relationship Id="rId9" Type="http://schemas.openxmlformats.org/officeDocument/2006/relationships/image" Target="../media/image162.png"/><Relationship Id="rId14" Type="http://schemas.openxmlformats.org/officeDocument/2006/relationships/image" Target="../media/image167.png"/><Relationship Id="rId22" Type="http://schemas.openxmlformats.org/officeDocument/2006/relationships/image" Target="../media/image175.png"/><Relationship Id="rId27" Type="http://schemas.openxmlformats.org/officeDocument/2006/relationships/image" Target="../media/image180.png"/><Relationship Id="rId30" Type="http://schemas.openxmlformats.org/officeDocument/2006/relationships/image" Target="../media/image183.png"/><Relationship Id="rId35" Type="http://schemas.openxmlformats.org/officeDocument/2006/relationships/image" Target="../media/image188.png"/><Relationship Id="rId43" Type="http://schemas.openxmlformats.org/officeDocument/2006/relationships/image" Target="../media/image23.png"/><Relationship Id="rId48" Type="http://schemas.openxmlformats.org/officeDocument/2006/relationships/image" Target="../media/image196.png"/><Relationship Id="rId56" Type="http://schemas.openxmlformats.org/officeDocument/2006/relationships/image" Target="../media/image200.png"/><Relationship Id="rId64" Type="http://schemas.openxmlformats.org/officeDocument/2006/relationships/image" Target="../media/image7.png"/><Relationship Id="rId69" Type="http://schemas.openxmlformats.org/officeDocument/2006/relationships/image" Target="../media/image209.png"/><Relationship Id="rId77" Type="http://schemas.openxmlformats.org/officeDocument/2006/relationships/image" Target="../media/image215.png"/><Relationship Id="rId8" Type="http://schemas.openxmlformats.org/officeDocument/2006/relationships/image" Target="../media/image161.png"/><Relationship Id="rId51" Type="http://schemas.openxmlformats.org/officeDocument/2006/relationships/image" Target="../media/image11.png"/><Relationship Id="rId72" Type="http://schemas.openxmlformats.org/officeDocument/2006/relationships/image" Target="../media/image212.png"/><Relationship Id="rId80" Type="http://schemas.openxmlformats.org/officeDocument/2006/relationships/image" Target="../media/image2.png"/><Relationship Id="rId85" Type="http://schemas.openxmlformats.org/officeDocument/2006/relationships/image" Target="../media/image221.png"/><Relationship Id="rId3" Type="http://schemas.openxmlformats.org/officeDocument/2006/relationships/image" Target="../media/image14.png"/><Relationship Id="rId12" Type="http://schemas.openxmlformats.org/officeDocument/2006/relationships/image" Target="../media/image165.png"/><Relationship Id="rId17" Type="http://schemas.openxmlformats.org/officeDocument/2006/relationships/image" Target="../media/image170.png"/><Relationship Id="rId25" Type="http://schemas.openxmlformats.org/officeDocument/2006/relationships/image" Target="../media/image178.png"/><Relationship Id="rId33" Type="http://schemas.openxmlformats.org/officeDocument/2006/relationships/image" Target="../media/image186.png"/><Relationship Id="rId38" Type="http://schemas.openxmlformats.org/officeDocument/2006/relationships/image" Target="../media/image191.png"/><Relationship Id="rId46" Type="http://schemas.openxmlformats.org/officeDocument/2006/relationships/image" Target="../media/image194.png"/><Relationship Id="rId59" Type="http://schemas.openxmlformats.org/officeDocument/2006/relationships/image" Target="../media/image203.png"/><Relationship Id="rId67" Type="http://schemas.openxmlformats.org/officeDocument/2006/relationships/image" Target="../media/image207.png"/><Relationship Id="rId20" Type="http://schemas.openxmlformats.org/officeDocument/2006/relationships/image" Target="../media/image173.png"/><Relationship Id="rId41" Type="http://schemas.openxmlformats.org/officeDocument/2006/relationships/image" Target="../media/image21.png"/><Relationship Id="rId54" Type="http://schemas.openxmlformats.org/officeDocument/2006/relationships/image" Target="../media/image13.png"/><Relationship Id="rId62" Type="http://schemas.openxmlformats.org/officeDocument/2006/relationships/image" Target="../media/image6.png"/><Relationship Id="rId70" Type="http://schemas.openxmlformats.org/officeDocument/2006/relationships/image" Target="../media/image210.png"/><Relationship Id="rId75" Type="http://schemas.openxmlformats.org/officeDocument/2006/relationships/image" Target="../media/image4.png"/><Relationship Id="rId83" Type="http://schemas.openxmlformats.org/officeDocument/2006/relationships/image" Target="../media/image219.png"/><Relationship Id="rId1" Type="http://schemas.openxmlformats.org/officeDocument/2006/relationships/image" Target="../media/image160.png"/><Relationship Id="rId6" Type="http://schemas.openxmlformats.org/officeDocument/2006/relationships/image" Target="../media/image18.png"/><Relationship Id="rId15" Type="http://schemas.openxmlformats.org/officeDocument/2006/relationships/image" Target="../media/image168.png"/><Relationship Id="rId23" Type="http://schemas.openxmlformats.org/officeDocument/2006/relationships/image" Target="../media/image176.png"/><Relationship Id="rId28" Type="http://schemas.openxmlformats.org/officeDocument/2006/relationships/image" Target="../media/image181.png"/><Relationship Id="rId36" Type="http://schemas.openxmlformats.org/officeDocument/2006/relationships/image" Target="../media/image189.png"/><Relationship Id="rId49" Type="http://schemas.openxmlformats.org/officeDocument/2006/relationships/image" Target="../media/image197.png"/><Relationship Id="rId57" Type="http://schemas.openxmlformats.org/officeDocument/2006/relationships/image" Target="../media/image201.png"/><Relationship Id="rId10" Type="http://schemas.openxmlformats.org/officeDocument/2006/relationships/image" Target="../media/image163.png"/><Relationship Id="rId31" Type="http://schemas.openxmlformats.org/officeDocument/2006/relationships/image" Target="../media/image184.png"/><Relationship Id="rId44" Type="http://schemas.openxmlformats.org/officeDocument/2006/relationships/image" Target="../media/image192.png"/><Relationship Id="rId52" Type="http://schemas.openxmlformats.org/officeDocument/2006/relationships/image" Target="../media/image10.png"/><Relationship Id="rId60" Type="http://schemas.openxmlformats.org/officeDocument/2006/relationships/image" Target="../media/image204.png"/><Relationship Id="rId65" Type="http://schemas.openxmlformats.org/officeDocument/2006/relationships/image" Target="../media/image205.png"/><Relationship Id="rId73" Type="http://schemas.openxmlformats.org/officeDocument/2006/relationships/image" Target="../media/image3.png"/><Relationship Id="rId78" Type="http://schemas.openxmlformats.org/officeDocument/2006/relationships/image" Target="../media/image216.png"/><Relationship Id="rId8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28.png"/><Relationship Id="rId18" Type="http://schemas.openxmlformats.org/officeDocument/2006/relationships/image" Target="../media/image233.png"/><Relationship Id="rId26" Type="http://schemas.openxmlformats.org/officeDocument/2006/relationships/image" Target="../media/image23.png"/><Relationship Id="rId39" Type="http://schemas.openxmlformats.org/officeDocument/2006/relationships/image" Target="../media/image246.png"/><Relationship Id="rId21" Type="http://schemas.openxmlformats.org/officeDocument/2006/relationships/image" Target="../media/image236.png"/><Relationship Id="rId34" Type="http://schemas.openxmlformats.org/officeDocument/2006/relationships/image" Target="../media/image12.png"/><Relationship Id="rId42" Type="http://schemas.openxmlformats.org/officeDocument/2006/relationships/image" Target="../media/image249.png"/><Relationship Id="rId47" Type="http://schemas.openxmlformats.org/officeDocument/2006/relationships/image" Target="../media/image7.png"/><Relationship Id="rId50" Type="http://schemas.openxmlformats.org/officeDocument/2006/relationships/image" Target="../media/image253.png"/><Relationship Id="rId55" Type="http://schemas.openxmlformats.org/officeDocument/2006/relationships/image" Target="../media/image3.png"/><Relationship Id="rId7" Type="http://schemas.openxmlformats.org/officeDocument/2006/relationships/image" Target="../media/image18.png"/><Relationship Id="rId2" Type="http://schemas.openxmlformats.org/officeDocument/2006/relationships/image" Target="../media/image223.png"/><Relationship Id="rId16" Type="http://schemas.openxmlformats.org/officeDocument/2006/relationships/image" Target="../media/image231.png"/><Relationship Id="rId20" Type="http://schemas.openxmlformats.org/officeDocument/2006/relationships/image" Target="../media/image235.png"/><Relationship Id="rId29" Type="http://schemas.openxmlformats.org/officeDocument/2006/relationships/image" Target="../media/image240.png"/><Relationship Id="rId41" Type="http://schemas.openxmlformats.org/officeDocument/2006/relationships/image" Target="../media/image248.png"/><Relationship Id="rId54" Type="http://schemas.openxmlformats.org/officeDocument/2006/relationships/image" Target="../media/image257.png"/><Relationship Id="rId62" Type="http://schemas.openxmlformats.org/officeDocument/2006/relationships/image" Target="../media/image1.png"/><Relationship Id="rId1" Type="http://schemas.openxmlformats.org/officeDocument/2006/relationships/image" Target="../media/image222.png"/><Relationship Id="rId6" Type="http://schemas.openxmlformats.org/officeDocument/2006/relationships/image" Target="../media/image17.png"/><Relationship Id="rId11" Type="http://schemas.openxmlformats.org/officeDocument/2006/relationships/image" Target="../media/image226.png"/><Relationship Id="rId24" Type="http://schemas.openxmlformats.org/officeDocument/2006/relationships/image" Target="../media/image19.png"/><Relationship Id="rId32" Type="http://schemas.openxmlformats.org/officeDocument/2006/relationships/image" Target="../media/image243.png"/><Relationship Id="rId37" Type="http://schemas.openxmlformats.org/officeDocument/2006/relationships/image" Target="../media/image10.png"/><Relationship Id="rId40" Type="http://schemas.openxmlformats.org/officeDocument/2006/relationships/image" Target="../media/image247.png"/><Relationship Id="rId45" Type="http://schemas.openxmlformats.org/officeDocument/2006/relationships/image" Target="../media/image9.png"/><Relationship Id="rId53" Type="http://schemas.openxmlformats.org/officeDocument/2006/relationships/image" Target="../media/image256.png"/><Relationship Id="rId58" Type="http://schemas.openxmlformats.org/officeDocument/2006/relationships/image" Target="../media/image258.png"/><Relationship Id="rId5" Type="http://schemas.openxmlformats.org/officeDocument/2006/relationships/image" Target="../media/image16.png"/><Relationship Id="rId15" Type="http://schemas.openxmlformats.org/officeDocument/2006/relationships/image" Target="../media/image230.png"/><Relationship Id="rId23" Type="http://schemas.openxmlformats.org/officeDocument/2006/relationships/image" Target="../media/image20.png"/><Relationship Id="rId28" Type="http://schemas.openxmlformats.org/officeDocument/2006/relationships/image" Target="../media/image239.png"/><Relationship Id="rId36" Type="http://schemas.openxmlformats.org/officeDocument/2006/relationships/image" Target="../media/image13.png"/><Relationship Id="rId49" Type="http://schemas.openxmlformats.org/officeDocument/2006/relationships/image" Target="../media/image252.png"/><Relationship Id="rId57" Type="http://schemas.openxmlformats.org/officeDocument/2006/relationships/image" Target="../media/image5.png"/><Relationship Id="rId61" Type="http://schemas.openxmlformats.org/officeDocument/2006/relationships/image" Target="../media/image2.png"/><Relationship Id="rId10" Type="http://schemas.openxmlformats.org/officeDocument/2006/relationships/image" Target="../media/image225.png"/><Relationship Id="rId19" Type="http://schemas.openxmlformats.org/officeDocument/2006/relationships/image" Target="../media/image234.png"/><Relationship Id="rId31" Type="http://schemas.openxmlformats.org/officeDocument/2006/relationships/image" Target="../media/image242.png"/><Relationship Id="rId44" Type="http://schemas.openxmlformats.org/officeDocument/2006/relationships/image" Target="../media/image251.png"/><Relationship Id="rId52" Type="http://schemas.openxmlformats.org/officeDocument/2006/relationships/image" Target="../media/image255.png"/><Relationship Id="rId60" Type="http://schemas.openxmlformats.org/officeDocument/2006/relationships/image" Target="../media/image260.png"/><Relationship Id="rId4" Type="http://schemas.openxmlformats.org/officeDocument/2006/relationships/image" Target="../media/image14.png"/><Relationship Id="rId9" Type="http://schemas.openxmlformats.org/officeDocument/2006/relationships/image" Target="../media/image224.png"/><Relationship Id="rId14" Type="http://schemas.openxmlformats.org/officeDocument/2006/relationships/image" Target="../media/image229.png"/><Relationship Id="rId22" Type="http://schemas.openxmlformats.org/officeDocument/2006/relationships/image" Target="../media/image237.png"/><Relationship Id="rId27" Type="http://schemas.openxmlformats.org/officeDocument/2006/relationships/image" Target="../media/image238.png"/><Relationship Id="rId30" Type="http://schemas.openxmlformats.org/officeDocument/2006/relationships/image" Target="../media/image241.png"/><Relationship Id="rId35" Type="http://schemas.openxmlformats.org/officeDocument/2006/relationships/image" Target="../media/image11.png"/><Relationship Id="rId43" Type="http://schemas.openxmlformats.org/officeDocument/2006/relationships/image" Target="../media/image250.png"/><Relationship Id="rId48" Type="http://schemas.openxmlformats.org/officeDocument/2006/relationships/image" Target="../media/image6.png"/><Relationship Id="rId56" Type="http://schemas.openxmlformats.org/officeDocument/2006/relationships/image" Target="../media/image4.png"/><Relationship Id="rId8" Type="http://schemas.openxmlformats.org/officeDocument/2006/relationships/image" Target="../media/image24.png"/><Relationship Id="rId51" Type="http://schemas.openxmlformats.org/officeDocument/2006/relationships/image" Target="../media/image254.png"/><Relationship Id="rId3" Type="http://schemas.openxmlformats.org/officeDocument/2006/relationships/image" Target="../media/image15.png"/><Relationship Id="rId12" Type="http://schemas.openxmlformats.org/officeDocument/2006/relationships/image" Target="../media/image227.png"/><Relationship Id="rId17" Type="http://schemas.openxmlformats.org/officeDocument/2006/relationships/image" Target="../media/image232.png"/><Relationship Id="rId25" Type="http://schemas.openxmlformats.org/officeDocument/2006/relationships/image" Target="../media/image21.png"/><Relationship Id="rId33" Type="http://schemas.openxmlformats.org/officeDocument/2006/relationships/image" Target="../media/image244.png"/><Relationship Id="rId38" Type="http://schemas.openxmlformats.org/officeDocument/2006/relationships/image" Target="../media/image245.png"/><Relationship Id="rId46" Type="http://schemas.openxmlformats.org/officeDocument/2006/relationships/image" Target="../media/image8.png"/><Relationship Id="rId59" Type="http://schemas.openxmlformats.org/officeDocument/2006/relationships/image" Target="../media/image25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6.png"/><Relationship Id="rId117" Type="http://schemas.openxmlformats.org/officeDocument/2006/relationships/image" Target="../media/image359.png"/><Relationship Id="rId21" Type="http://schemas.openxmlformats.org/officeDocument/2006/relationships/image" Target="../media/image275.png"/><Relationship Id="rId42" Type="http://schemas.openxmlformats.org/officeDocument/2006/relationships/image" Target="../media/image292.png"/><Relationship Id="rId47" Type="http://schemas.openxmlformats.org/officeDocument/2006/relationships/image" Target="../media/image297.png"/><Relationship Id="rId63" Type="http://schemas.openxmlformats.org/officeDocument/2006/relationships/image" Target="../media/image313.png"/><Relationship Id="rId68" Type="http://schemas.openxmlformats.org/officeDocument/2006/relationships/image" Target="../media/image318.png"/><Relationship Id="rId84" Type="http://schemas.openxmlformats.org/officeDocument/2006/relationships/image" Target="../media/image330.png"/><Relationship Id="rId89" Type="http://schemas.openxmlformats.org/officeDocument/2006/relationships/image" Target="../media/image335.png"/><Relationship Id="rId112" Type="http://schemas.openxmlformats.org/officeDocument/2006/relationships/image" Target="../media/image354.png"/><Relationship Id="rId133" Type="http://schemas.openxmlformats.org/officeDocument/2006/relationships/image" Target="../media/image372.png"/><Relationship Id="rId138" Type="http://schemas.openxmlformats.org/officeDocument/2006/relationships/image" Target="../media/image377.png"/><Relationship Id="rId154" Type="http://schemas.openxmlformats.org/officeDocument/2006/relationships/image" Target="../media/image393.png"/><Relationship Id="rId159" Type="http://schemas.openxmlformats.org/officeDocument/2006/relationships/image" Target="../media/image1.png"/><Relationship Id="rId16" Type="http://schemas.openxmlformats.org/officeDocument/2006/relationships/image" Target="../media/image270.png"/><Relationship Id="rId107" Type="http://schemas.openxmlformats.org/officeDocument/2006/relationships/image" Target="../media/image349.png"/><Relationship Id="rId11" Type="http://schemas.openxmlformats.org/officeDocument/2006/relationships/image" Target="../media/image265.png"/><Relationship Id="rId32" Type="http://schemas.openxmlformats.org/officeDocument/2006/relationships/image" Target="../media/image282.png"/><Relationship Id="rId37" Type="http://schemas.openxmlformats.org/officeDocument/2006/relationships/image" Target="../media/image287.png"/><Relationship Id="rId53" Type="http://schemas.openxmlformats.org/officeDocument/2006/relationships/image" Target="../media/image303.png"/><Relationship Id="rId58" Type="http://schemas.openxmlformats.org/officeDocument/2006/relationships/image" Target="../media/image308.png"/><Relationship Id="rId74" Type="http://schemas.openxmlformats.org/officeDocument/2006/relationships/image" Target="../media/image10.png"/><Relationship Id="rId79" Type="http://schemas.openxmlformats.org/officeDocument/2006/relationships/image" Target="../media/image325.png"/><Relationship Id="rId102" Type="http://schemas.openxmlformats.org/officeDocument/2006/relationships/image" Target="../media/image9.png"/><Relationship Id="rId123" Type="http://schemas.openxmlformats.org/officeDocument/2006/relationships/image" Target="../media/image365.png"/><Relationship Id="rId128" Type="http://schemas.openxmlformats.org/officeDocument/2006/relationships/image" Target="../media/image367.png"/><Relationship Id="rId144" Type="http://schemas.openxmlformats.org/officeDocument/2006/relationships/image" Target="../media/image383.png"/><Relationship Id="rId149" Type="http://schemas.openxmlformats.org/officeDocument/2006/relationships/image" Target="../media/image388.png"/><Relationship Id="rId5" Type="http://schemas.openxmlformats.org/officeDocument/2006/relationships/image" Target="../media/image15.png"/><Relationship Id="rId90" Type="http://schemas.openxmlformats.org/officeDocument/2006/relationships/image" Target="../media/image336.png"/><Relationship Id="rId95" Type="http://schemas.openxmlformats.org/officeDocument/2006/relationships/image" Target="../media/image341.png"/><Relationship Id="rId160" Type="http://schemas.openxmlformats.org/officeDocument/2006/relationships/image" Target="../media/image397.png"/><Relationship Id="rId22" Type="http://schemas.openxmlformats.org/officeDocument/2006/relationships/image" Target="../media/image23.png"/><Relationship Id="rId27" Type="http://schemas.openxmlformats.org/officeDocument/2006/relationships/image" Target="../media/image277.png"/><Relationship Id="rId43" Type="http://schemas.openxmlformats.org/officeDocument/2006/relationships/image" Target="../media/image293.png"/><Relationship Id="rId48" Type="http://schemas.openxmlformats.org/officeDocument/2006/relationships/image" Target="../media/image298.png"/><Relationship Id="rId64" Type="http://schemas.openxmlformats.org/officeDocument/2006/relationships/image" Target="../media/image314.png"/><Relationship Id="rId69" Type="http://schemas.openxmlformats.org/officeDocument/2006/relationships/image" Target="../media/image319.png"/><Relationship Id="rId113" Type="http://schemas.openxmlformats.org/officeDocument/2006/relationships/image" Target="../media/image355.png"/><Relationship Id="rId118" Type="http://schemas.openxmlformats.org/officeDocument/2006/relationships/image" Target="../media/image360.png"/><Relationship Id="rId134" Type="http://schemas.openxmlformats.org/officeDocument/2006/relationships/image" Target="../media/image373.png"/><Relationship Id="rId139" Type="http://schemas.openxmlformats.org/officeDocument/2006/relationships/image" Target="../media/image378.png"/><Relationship Id="rId80" Type="http://schemas.openxmlformats.org/officeDocument/2006/relationships/image" Target="../media/image326.png"/><Relationship Id="rId85" Type="http://schemas.openxmlformats.org/officeDocument/2006/relationships/image" Target="../media/image331.png"/><Relationship Id="rId150" Type="http://schemas.openxmlformats.org/officeDocument/2006/relationships/image" Target="../media/image389.png"/><Relationship Id="rId155" Type="http://schemas.openxmlformats.org/officeDocument/2006/relationships/image" Target="../media/image394.png"/><Relationship Id="rId12" Type="http://schemas.openxmlformats.org/officeDocument/2006/relationships/image" Target="../media/image266.png"/><Relationship Id="rId17" Type="http://schemas.openxmlformats.org/officeDocument/2006/relationships/image" Target="../media/image271.png"/><Relationship Id="rId33" Type="http://schemas.openxmlformats.org/officeDocument/2006/relationships/image" Target="../media/image283.png"/><Relationship Id="rId38" Type="http://schemas.openxmlformats.org/officeDocument/2006/relationships/image" Target="../media/image288.png"/><Relationship Id="rId59" Type="http://schemas.openxmlformats.org/officeDocument/2006/relationships/image" Target="../media/image309.png"/><Relationship Id="rId103" Type="http://schemas.openxmlformats.org/officeDocument/2006/relationships/image" Target="../media/image8.png"/><Relationship Id="rId108" Type="http://schemas.openxmlformats.org/officeDocument/2006/relationships/image" Target="../media/image350.png"/><Relationship Id="rId124" Type="http://schemas.openxmlformats.org/officeDocument/2006/relationships/image" Target="../media/image366.png"/><Relationship Id="rId129" Type="http://schemas.openxmlformats.org/officeDocument/2006/relationships/image" Target="../media/image368.png"/><Relationship Id="rId20" Type="http://schemas.openxmlformats.org/officeDocument/2006/relationships/image" Target="../media/image274.png"/><Relationship Id="rId41" Type="http://schemas.openxmlformats.org/officeDocument/2006/relationships/image" Target="../media/image291.png"/><Relationship Id="rId54" Type="http://schemas.openxmlformats.org/officeDocument/2006/relationships/image" Target="../media/image304.png"/><Relationship Id="rId62" Type="http://schemas.openxmlformats.org/officeDocument/2006/relationships/image" Target="../media/image312.png"/><Relationship Id="rId70" Type="http://schemas.openxmlformats.org/officeDocument/2006/relationships/image" Target="../media/image320.png"/><Relationship Id="rId75" Type="http://schemas.openxmlformats.org/officeDocument/2006/relationships/image" Target="../media/image321.png"/><Relationship Id="rId83" Type="http://schemas.openxmlformats.org/officeDocument/2006/relationships/image" Target="../media/image329.png"/><Relationship Id="rId88" Type="http://schemas.openxmlformats.org/officeDocument/2006/relationships/image" Target="../media/image334.png"/><Relationship Id="rId91" Type="http://schemas.openxmlformats.org/officeDocument/2006/relationships/image" Target="../media/image337.png"/><Relationship Id="rId96" Type="http://schemas.openxmlformats.org/officeDocument/2006/relationships/image" Target="../media/image342.png"/><Relationship Id="rId111" Type="http://schemas.openxmlformats.org/officeDocument/2006/relationships/image" Target="../media/image353.png"/><Relationship Id="rId132" Type="http://schemas.openxmlformats.org/officeDocument/2006/relationships/image" Target="../media/image371.png"/><Relationship Id="rId140" Type="http://schemas.openxmlformats.org/officeDocument/2006/relationships/image" Target="../media/image379.png"/><Relationship Id="rId145" Type="http://schemas.openxmlformats.org/officeDocument/2006/relationships/image" Target="../media/image384.png"/><Relationship Id="rId153" Type="http://schemas.openxmlformats.org/officeDocument/2006/relationships/image" Target="../media/image392.png"/><Relationship Id="rId1" Type="http://schemas.openxmlformats.org/officeDocument/2006/relationships/image" Target="../media/image261.png"/><Relationship Id="rId6" Type="http://schemas.openxmlformats.org/officeDocument/2006/relationships/image" Target="../media/image17.png"/><Relationship Id="rId15" Type="http://schemas.openxmlformats.org/officeDocument/2006/relationships/image" Target="../media/image269.png"/><Relationship Id="rId23" Type="http://schemas.openxmlformats.org/officeDocument/2006/relationships/image" Target="../media/image20.png"/><Relationship Id="rId28" Type="http://schemas.openxmlformats.org/officeDocument/2006/relationships/image" Target="../media/image278.png"/><Relationship Id="rId36" Type="http://schemas.openxmlformats.org/officeDocument/2006/relationships/image" Target="../media/image286.png"/><Relationship Id="rId49" Type="http://schemas.openxmlformats.org/officeDocument/2006/relationships/image" Target="../media/image299.png"/><Relationship Id="rId57" Type="http://schemas.openxmlformats.org/officeDocument/2006/relationships/image" Target="../media/image307.png"/><Relationship Id="rId106" Type="http://schemas.openxmlformats.org/officeDocument/2006/relationships/image" Target="../media/image348.png"/><Relationship Id="rId114" Type="http://schemas.openxmlformats.org/officeDocument/2006/relationships/image" Target="../media/image356.png"/><Relationship Id="rId119" Type="http://schemas.openxmlformats.org/officeDocument/2006/relationships/image" Target="../media/image361.png"/><Relationship Id="rId127" Type="http://schemas.openxmlformats.org/officeDocument/2006/relationships/image" Target="../media/image4.png"/><Relationship Id="rId10" Type="http://schemas.openxmlformats.org/officeDocument/2006/relationships/image" Target="../media/image264.png"/><Relationship Id="rId31" Type="http://schemas.openxmlformats.org/officeDocument/2006/relationships/image" Target="../media/image281.png"/><Relationship Id="rId44" Type="http://schemas.openxmlformats.org/officeDocument/2006/relationships/image" Target="../media/image294.png"/><Relationship Id="rId52" Type="http://schemas.openxmlformats.org/officeDocument/2006/relationships/image" Target="../media/image302.png"/><Relationship Id="rId60" Type="http://schemas.openxmlformats.org/officeDocument/2006/relationships/image" Target="../media/image310.png"/><Relationship Id="rId65" Type="http://schemas.openxmlformats.org/officeDocument/2006/relationships/image" Target="../media/image315.png"/><Relationship Id="rId73" Type="http://schemas.openxmlformats.org/officeDocument/2006/relationships/image" Target="../media/image13.png"/><Relationship Id="rId78" Type="http://schemas.openxmlformats.org/officeDocument/2006/relationships/image" Target="../media/image324.png"/><Relationship Id="rId81" Type="http://schemas.openxmlformats.org/officeDocument/2006/relationships/image" Target="../media/image327.png"/><Relationship Id="rId86" Type="http://schemas.openxmlformats.org/officeDocument/2006/relationships/image" Target="../media/image332.png"/><Relationship Id="rId94" Type="http://schemas.openxmlformats.org/officeDocument/2006/relationships/image" Target="../media/image340.png"/><Relationship Id="rId99" Type="http://schemas.openxmlformats.org/officeDocument/2006/relationships/image" Target="../media/image345.png"/><Relationship Id="rId101" Type="http://schemas.openxmlformats.org/officeDocument/2006/relationships/image" Target="../media/image347.png"/><Relationship Id="rId122" Type="http://schemas.openxmlformats.org/officeDocument/2006/relationships/image" Target="../media/image364.png"/><Relationship Id="rId130" Type="http://schemas.openxmlformats.org/officeDocument/2006/relationships/image" Target="../media/image369.png"/><Relationship Id="rId135" Type="http://schemas.openxmlformats.org/officeDocument/2006/relationships/image" Target="../media/image374.png"/><Relationship Id="rId143" Type="http://schemas.openxmlformats.org/officeDocument/2006/relationships/image" Target="../media/image382.png"/><Relationship Id="rId148" Type="http://schemas.openxmlformats.org/officeDocument/2006/relationships/image" Target="../media/image387.png"/><Relationship Id="rId151" Type="http://schemas.openxmlformats.org/officeDocument/2006/relationships/image" Target="../media/image390.png"/><Relationship Id="rId156" Type="http://schemas.openxmlformats.org/officeDocument/2006/relationships/image" Target="../media/image395.png"/><Relationship Id="rId4" Type="http://schemas.openxmlformats.org/officeDocument/2006/relationships/image" Target="../media/image16.png"/><Relationship Id="rId9" Type="http://schemas.openxmlformats.org/officeDocument/2006/relationships/image" Target="../media/image263.png"/><Relationship Id="rId13" Type="http://schemas.openxmlformats.org/officeDocument/2006/relationships/image" Target="../media/image267.png"/><Relationship Id="rId18" Type="http://schemas.openxmlformats.org/officeDocument/2006/relationships/image" Target="../media/image272.png"/><Relationship Id="rId39" Type="http://schemas.openxmlformats.org/officeDocument/2006/relationships/image" Target="../media/image289.png"/><Relationship Id="rId109" Type="http://schemas.openxmlformats.org/officeDocument/2006/relationships/image" Target="../media/image351.png"/><Relationship Id="rId34" Type="http://schemas.openxmlformats.org/officeDocument/2006/relationships/image" Target="../media/image284.png"/><Relationship Id="rId50" Type="http://schemas.openxmlformats.org/officeDocument/2006/relationships/image" Target="../media/image300.png"/><Relationship Id="rId55" Type="http://schemas.openxmlformats.org/officeDocument/2006/relationships/image" Target="../media/image305.png"/><Relationship Id="rId76" Type="http://schemas.openxmlformats.org/officeDocument/2006/relationships/image" Target="../media/image322.png"/><Relationship Id="rId97" Type="http://schemas.openxmlformats.org/officeDocument/2006/relationships/image" Target="../media/image343.png"/><Relationship Id="rId104" Type="http://schemas.openxmlformats.org/officeDocument/2006/relationships/image" Target="../media/image7.png"/><Relationship Id="rId120" Type="http://schemas.openxmlformats.org/officeDocument/2006/relationships/image" Target="../media/image362.png"/><Relationship Id="rId125" Type="http://schemas.openxmlformats.org/officeDocument/2006/relationships/image" Target="../media/image5.png"/><Relationship Id="rId141" Type="http://schemas.openxmlformats.org/officeDocument/2006/relationships/image" Target="../media/image380.png"/><Relationship Id="rId146" Type="http://schemas.openxmlformats.org/officeDocument/2006/relationships/image" Target="../media/image385.png"/><Relationship Id="rId7" Type="http://schemas.openxmlformats.org/officeDocument/2006/relationships/image" Target="../media/image14.png"/><Relationship Id="rId71" Type="http://schemas.openxmlformats.org/officeDocument/2006/relationships/image" Target="../media/image12.png"/><Relationship Id="rId92" Type="http://schemas.openxmlformats.org/officeDocument/2006/relationships/image" Target="../media/image338.png"/><Relationship Id="rId2" Type="http://schemas.openxmlformats.org/officeDocument/2006/relationships/image" Target="../media/image262.png"/><Relationship Id="rId29" Type="http://schemas.openxmlformats.org/officeDocument/2006/relationships/image" Target="../media/image279.png"/><Relationship Id="rId24" Type="http://schemas.openxmlformats.org/officeDocument/2006/relationships/image" Target="../media/image21.png"/><Relationship Id="rId40" Type="http://schemas.openxmlformats.org/officeDocument/2006/relationships/image" Target="../media/image290.png"/><Relationship Id="rId45" Type="http://schemas.openxmlformats.org/officeDocument/2006/relationships/image" Target="../media/image295.png"/><Relationship Id="rId66" Type="http://schemas.openxmlformats.org/officeDocument/2006/relationships/image" Target="../media/image316.png"/><Relationship Id="rId87" Type="http://schemas.openxmlformats.org/officeDocument/2006/relationships/image" Target="../media/image333.png"/><Relationship Id="rId110" Type="http://schemas.openxmlformats.org/officeDocument/2006/relationships/image" Target="../media/image352.png"/><Relationship Id="rId115" Type="http://schemas.openxmlformats.org/officeDocument/2006/relationships/image" Target="../media/image357.png"/><Relationship Id="rId131" Type="http://schemas.openxmlformats.org/officeDocument/2006/relationships/image" Target="../media/image370.png"/><Relationship Id="rId136" Type="http://schemas.openxmlformats.org/officeDocument/2006/relationships/image" Target="../media/image375.png"/><Relationship Id="rId157" Type="http://schemas.openxmlformats.org/officeDocument/2006/relationships/image" Target="../media/image396.png"/><Relationship Id="rId61" Type="http://schemas.openxmlformats.org/officeDocument/2006/relationships/image" Target="../media/image311.png"/><Relationship Id="rId82" Type="http://schemas.openxmlformats.org/officeDocument/2006/relationships/image" Target="../media/image328.png"/><Relationship Id="rId152" Type="http://schemas.openxmlformats.org/officeDocument/2006/relationships/image" Target="../media/image391.png"/><Relationship Id="rId19" Type="http://schemas.openxmlformats.org/officeDocument/2006/relationships/image" Target="../media/image273.png"/><Relationship Id="rId14" Type="http://schemas.openxmlformats.org/officeDocument/2006/relationships/image" Target="../media/image268.png"/><Relationship Id="rId30" Type="http://schemas.openxmlformats.org/officeDocument/2006/relationships/image" Target="../media/image280.png"/><Relationship Id="rId35" Type="http://schemas.openxmlformats.org/officeDocument/2006/relationships/image" Target="../media/image285.png"/><Relationship Id="rId56" Type="http://schemas.openxmlformats.org/officeDocument/2006/relationships/image" Target="../media/image306.png"/><Relationship Id="rId77" Type="http://schemas.openxmlformats.org/officeDocument/2006/relationships/image" Target="../media/image323.png"/><Relationship Id="rId100" Type="http://schemas.openxmlformats.org/officeDocument/2006/relationships/image" Target="../media/image346.png"/><Relationship Id="rId105" Type="http://schemas.openxmlformats.org/officeDocument/2006/relationships/image" Target="../media/image6.png"/><Relationship Id="rId126" Type="http://schemas.openxmlformats.org/officeDocument/2006/relationships/image" Target="../media/image3.png"/><Relationship Id="rId147" Type="http://schemas.openxmlformats.org/officeDocument/2006/relationships/image" Target="../media/image386.png"/><Relationship Id="rId8" Type="http://schemas.openxmlformats.org/officeDocument/2006/relationships/image" Target="../media/image24.png"/><Relationship Id="rId51" Type="http://schemas.openxmlformats.org/officeDocument/2006/relationships/image" Target="../media/image301.png"/><Relationship Id="rId72" Type="http://schemas.openxmlformats.org/officeDocument/2006/relationships/image" Target="../media/image11.png"/><Relationship Id="rId93" Type="http://schemas.openxmlformats.org/officeDocument/2006/relationships/image" Target="../media/image339.png"/><Relationship Id="rId98" Type="http://schemas.openxmlformats.org/officeDocument/2006/relationships/image" Target="../media/image344.png"/><Relationship Id="rId121" Type="http://schemas.openxmlformats.org/officeDocument/2006/relationships/image" Target="../media/image363.png"/><Relationship Id="rId142" Type="http://schemas.openxmlformats.org/officeDocument/2006/relationships/image" Target="../media/image381.png"/><Relationship Id="rId3" Type="http://schemas.openxmlformats.org/officeDocument/2006/relationships/image" Target="../media/image18.png"/><Relationship Id="rId25" Type="http://schemas.openxmlformats.org/officeDocument/2006/relationships/image" Target="../media/image19.png"/><Relationship Id="rId46" Type="http://schemas.openxmlformats.org/officeDocument/2006/relationships/image" Target="../media/image296.png"/><Relationship Id="rId67" Type="http://schemas.openxmlformats.org/officeDocument/2006/relationships/image" Target="../media/image317.png"/><Relationship Id="rId116" Type="http://schemas.openxmlformats.org/officeDocument/2006/relationships/image" Target="../media/image358.png"/><Relationship Id="rId137" Type="http://schemas.openxmlformats.org/officeDocument/2006/relationships/image" Target="../media/image376.png"/><Relationship Id="rId158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27</xdr:row>
      <xdr:rowOff>25400</xdr:rowOff>
    </xdr:from>
    <xdr:to>
      <xdr:col>4</xdr:col>
      <xdr:colOff>635000</xdr:colOff>
      <xdr:row>30</xdr:row>
      <xdr:rowOff>15875</xdr:rowOff>
    </xdr:to>
    <xdr:sp macro="" textlink="">
      <xdr:nvSpPr>
        <xdr:cNvPr id="2" name="HofrinWatermark_1" descr="Made by Hofrin">
          <a:extLst>
            <a:ext uri="{FF2B5EF4-FFF2-40B4-BE49-F238E27FC236}">
              <a16:creationId xmlns:a16="http://schemas.microsoft.com/office/drawing/2014/main" id="{58E54411-C397-62BF-FECF-653F3098D108}"/>
            </a:ext>
          </a:extLst>
        </xdr:cNvPr>
        <xdr:cNvSpPr txBox="1"/>
      </xdr:nvSpPr>
      <xdr:spPr>
        <a:xfrm>
          <a:off x="50800" y="12865100"/>
          <a:ext cx="83185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2</xdr:row>
      <xdr:rowOff>9525</xdr:rowOff>
    </xdr:from>
    <xdr:ext cx="571500" cy="571500"/>
    <xdr:pic>
      <xdr:nvPicPr>
        <xdr:cNvPr id="2" name="/xl/media/imag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3</xdr:row>
      <xdr:rowOff>9525</xdr:rowOff>
    </xdr:from>
    <xdr:ext cx="571500" cy="571500"/>
    <xdr:pic>
      <xdr:nvPicPr>
        <xdr:cNvPr id="3" name="/xl/media/image2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4</xdr:row>
      <xdr:rowOff>9525</xdr:rowOff>
    </xdr:from>
    <xdr:ext cx="571500" cy="571500"/>
    <xdr:pic>
      <xdr:nvPicPr>
        <xdr:cNvPr id="4" name="/xl/media/image3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5</xdr:row>
      <xdr:rowOff>9525</xdr:rowOff>
    </xdr:from>
    <xdr:ext cx="571500" cy="571500"/>
    <xdr:pic>
      <xdr:nvPicPr>
        <xdr:cNvPr id="5" name="/xl/media/image4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6</xdr:row>
      <xdr:rowOff>9525</xdr:rowOff>
    </xdr:from>
    <xdr:ext cx="571500" cy="571500"/>
    <xdr:pic>
      <xdr:nvPicPr>
        <xdr:cNvPr id="6" name="/xl/media/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7</xdr:row>
      <xdr:rowOff>9525</xdr:rowOff>
    </xdr:from>
    <xdr:ext cx="571500" cy="571500"/>
    <xdr:pic>
      <xdr:nvPicPr>
        <xdr:cNvPr id="7" name="/xl/media/image6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8</xdr:row>
      <xdr:rowOff>9525</xdr:rowOff>
    </xdr:from>
    <xdr:ext cx="571500" cy="571500"/>
    <xdr:pic>
      <xdr:nvPicPr>
        <xdr:cNvPr id="8" name="/xl/media/image7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9</xdr:row>
      <xdr:rowOff>9525</xdr:rowOff>
    </xdr:from>
    <xdr:ext cx="571500" cy="571500"/>
    <xdr:pic>
      <xdr:nvPicPr>
        <xdr:cNvPr id="9" name="/xl/media/image8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10</xdr:row>
      <xdr:rowOff>9525</xdr:rowOff>
    </xdr:from>
    <xdr:ext cx="571500" cy="571500"/>
    <xdr:pic>
      <xdr:nvPicPr>
        <xdr:cNvPr id="10" name="/xl/media/image9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11</xdr:row>
      <xdr:rowOff>9525</xdr:rowOff>
    </xdr:from>
    <xdr:ext cx="571500" cy="571500"/>
    <xdr:pic>
      <xdr:nvPicPr>
        <xdr:cNvPr id="11" name="/xl/media/image10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12</xdr:row>
      <xdr:rowOff>9525</xdr:rowOff>
    </xdr:from>
    <xdr:ext cx="571500" cy="571500"/>
    <xdr:pic>
      <xdr:nvPicPr>
        <xdr:cNvPr id="12" name="/xl/media/image11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13</xdr:row>
      <xdr:rowOff>9525</xdr:rowOff>
    </xdr:from>
    <xdr:ext cx="571500" cy="571500"/>
    <xdr:pic>
      <xdr:nvPicPr>
        <xdr:cNvPr id="13" name="/xl/media/image12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14</xdr:row>
      <xdr:rowOff>9525</xdr:rowOff>
    </xdr:from>
    <xdr:ext cx="571500" cy="571500"/>
    <xdr:pic>
      <xdr:nvPicPr>
        <xdr:cNvPr id="14" name="/xl/media/image13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15</xdr:row>
      <xdr:rowOff>9525</xdr:rowOff>
    </xdr:from>
    <xdr:ext cx="571500" cy="571500"/>
    <xdr:pic>
      <xdr:nvPicPr>
        <xdr:cNvPr id="15" name="/xl/media/image1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16</xdr:row>
      <xdr:rowOff>9525</xdr:rowOff>
    </xdr:from>
    <xdr:ext cx="571500" cy="571500"/>
    <xdr:pic>
      <xdr:nvPicPr>
        <xdr:cNvPr id="16" name="/xl/media/image15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17</xdr:row>
      <xdr:rowOff>9525</xdr:rowOff>
    </xdr:from>
    <xdr:ext cx="571500" cy="571500"/>
    <xdr:pic>
      <xdr:nvPicPr>
        <xdr:cNvPr id="17" name="/xl/media/image16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18</xdr:row>
      <xdr:rowOff>9525</xdr:rowOff>
    </xdr:from>
    <xdr:ext cx="571500" cy="571500"/>
    <xdr:pic>
      <xdr:nvPicPr>
        <xdr:cNvPr id="18" name="/xl/media/image17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19</xdr:row>
      <xdr:rowOff>9525</xdr:rowOff>
    </xdr:from>
    <xdr:ext cx="571500" cy="571500"/>
    <xdr:pic>
      <xdr:nvPicPr>
        <xdr:cNvPr id="19" name="/xl/media/image18.png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20</xdr:row>
      <xdr:rowOff>9525</xdr:rowOff>
    </xdr:from>
    <xdr:ext cx="571500" cy="571500"/>
    <xdr:pic>
      <xdr:nvPicPr>
        <xdr:cNvPr id="20" name="/xl/media/image19.pn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21</xdr:row>
      <xdr:rowOff>9525</xdr:rowOff>
    </xdr:from>
    <xdr:ext cx="571500" cy="571500"/>
    <xdr:pic>
      <xdr:nvPicPr>
        <xdr:cNvPr id="21" name="/xl/media/image20.pn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22</xdr:row>
      <xdr:rowOff>9525</xdr:rowOff>
    </xdr:from>
    <xdr:ext cx="571500" cy="571500"/>
    <xdr:pic>
      <xdr:nvPicPr>
        <xdr:cNvPr id="22" name="/xl/media/image21.pn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23</xdr:row>
      <xdr:rowOff>9525</xdr:rowOff>
    </xdr:from>
    <xdr:ext cx="571500" cy="571500"/>
    <xdr:pic>
      <xdr:nvPicPr>
        <xdr:cNvPr id="23" name="/xl/media/image22.pn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24</xdr:row>
      <xdr:rowOff>9525</xdr:rowOff>
    </xdr:from>
    <xdr:ext cx="571500" cy="571500"/>
    <xdr:pic>
      <xdr:nvPicPr>
        <xdr:cNvPr id="24" name="/xl/media/image23.p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25</xdr:row>
      <xdr:rowOff>9525</xdr:rowOff>
    </xdr:from>
    <xdr:ext cx="571500" cy="571500"/>
    <xdr:pic>
      <xdr:nvPicPr>
        <xdr:cNvPr id="25" name="/xl/media/image24.p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26</xdr:row>
      <xdr:rowOff>9525</xdr:rowOff>
    </xdr:from>
    <xdr:ext cx="571500" cy="571500"/>
    <xdr:pic>
      <xdr:nvPicPr>
        <xdr:cNvPr id="26" name="/xl/media/image25.p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27</xdr:row>
      <xdr:rowOff>9525</xdr:rowOff>
    </xdr:from>
    <xdr:ext cx="571500" cy="571500"/>
    <xdr:pic>
      <xdr:nvPicPr>
        <xdr:cNvPr id="27" name="/xl/media/image26.pn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28</xdr:row>
      <xdr:rowOff>9525</xdr:rowOff>
    </xdr:from>
    <xdr:ext cx="571500" cy="571500"/>
    <xdr:pic>
      <xdr:nvPicPr>
        <xdr:cNvPr id="28" name="/xl/media/image27.p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28575</xdr:colOff>
      <xdr:row>29</xdr:row>
      <xdr:rowOff>9525</xdr:rowOff>
    </xdr:from>
    <xdr:ext cx="571500" cy="571500"/>
    <xdr:pic>
      <xdr:nvPicPr>
        <xdr:cNvPr id="29" name="/xl/media/image28.pn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0</xdr:col>
      <xdr:colOff>50800</xdr:colOff>
      <xdr:row>31</xdr:row>
      <xdr:rowOff>25400</xdr:rowOff>
    </xdr:from>
    <xdr:to>
      <xdr:col>4</xdr:col>
      <xdr:colOff>1168400</xdr:colOff>
      <xdr:row>34</xdr:row>
      <xdr:rowOff>15875</xdr:rowOff>
    </xdr:to>
    <xdr:sp macro="" textlink="">
      <xdr:nvSpPr>
        <xdr:cNvPr id="30" name="HofrinWatermark_1" descr="Made by Hofrin">
          <a:extLst>
            <a:ext uri="{FF2B5EF4-FFF2-40B4-BE49-F238E27FC236}">
              <a16:creationId xmlns:a16="http://schemas.microsoft.com/office/drawing/2014/main" id="{C028A761-1B8D-0477-873B-0FB9A536A015}"/>
            </a:ext>
          </a:extLst>
        </xdr:cNvPr>
        <xdr:cNvSpPr txBox="1"/>
      </xdr:nvSpPr>
      <xdr:spPr>
        <a:xfrm>
          <a:off x="50800" y="16941800"/>
          <a:ext cx="799465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50800</xdr:colOff>
      <xdr:row>31</xdr:row>
      <xdr:rowOff>25400</xdr:rowOff>
    </xdr:from>
    <xdr:to>
      <xdr:col>4</xdr:col>
      <xdr:colOff>1168400</xdr:colOff>
      <xdr:row>34</xdr:row>
      <xdr:rowOff>15875</xdr:rowOff>
    </xdr:to>
    <xdr:sp macro="" textlink="">
      <xdr:nvSpPr>
        <xdr:cNvPr id="31" name="HofrinWatermark_2" descr="Made by Hofrin">
          <a:extLst>
            <a:ext uri="{FF2B5EF4-FFF2-40B4-BE49-F238E27FC236}">
              <a16:creationId xmlns:a16="http://schemas.microsoft.com/office/drawing/2014/main" id="{D7988471-1CA2-3B40-75F5-3183EE88FD2C}"/>
            </a:ext>
          </a:extLst>
        </xdr:cNvPr>
        <xdr:cNvSpPr txBox="1"/>
      </xdr:nvSpPr>
      <xdr:spPr>
        <a:xfrm>
          <a:off x="50800" y="16941800"/>
          <a:ext cx="799465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366</xdr:row>
      <xdr:rowOff>25400</xdr:rowOff>
    </xdr:from>
    <xdr:to>
      <xdr:col>4</xdr:col>
      <xdr:colOff>2235200</xdr:colOff>
      <xdr:row>369</xdr:row>
      <xdr:rowOff>15875</xdr:rowOff>
    </xdr:to>
    <xdr:sp macro="" textlink="">
      <xdr:nvSpPr>
        <xdr:cNvPr id="2" name="HofrinWatermark_6" descr="Made by Hofrin">
          <a:extLst>
            <a:ext uri="{FF2B5EF4-FFF2-40B4-BE49-F238E27FC236}">
              <a16:creationId xmlns:a16="http://schemas.microsoft.com/office/drawing/2014/main" id="{1D35D0F6-9FE9-84A4-63A2-F874D785EDAA}"/>
            </a:ext>
          </a:extLst>
        </xdr:cNvPr>
        <xdr:cNvSpPr txBox="1"/>
      </xdr:nvSpPr>
      <xdr:spPr>
        <a:xfrm>
          <a:off x="5032375" y="66319400"/>
          <a:ext cx="6832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50800</xdr:colOff>
      <xdr:row>366</xdr:row>
      <xdr:rowOff>25400</xdr:rowOff>
    </xdr:from>
    <xdr:to>
      <xdr:col>4</xdr:col>
      <xdr:colOff>2235200</xdr:colOff>
      <xdr:row>369</xdr:row>
      <xdr:rowOff>15875</xdr:rowOff>
    </xdr:to>
    <xdr:sp macro="" textlink="">
      <xdr:nvSpPr>
        <xdr:cNvPr id="3" name="HofrinWatermark_3" descr="Made by Hofrin">
          <a:extLst>
            <a:ext uri="{FF2B5EF4-FFF2-40B4-BE49-F238E27FC236}">
              <a16:creationId xmlns:a16="http://schemas.microsoft.com/office/drawing/2014/main" id="{661A637A-42CD-AE72-2671-A769009C6832}"/>
            </a:ext>
          </a:extLst>
        </xdr:cNvPr>
        <xdr:cNvSpPr txBox="1"/>
      </xdr:nvSpPr>
      <xdr:spPr>
        <a:xfrm>
          <a:off x="5032375" y="66319400"/>
          <a:ext cx="6832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1</xdr:row>
      <xdr:rowOff>428625</xdr:rowOff>
    </xdr:from>
    <xdr:ext cx="1438275" cy="1438275"/>
    <xdr:pic>
      <xdr:nvPicPr>
        <xdr:cNvPr id="2" name="/xl/media/image2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19050</xdr:rowOff>
    </xdr:from>
    <xdr:ext cx="647700" cy="647700"/>
    <xdr:pic>
      <xdr:nvPicPr>
        <xdr:cNvPr id="3" name="/xl/media/image30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</xdr:row>
      <xdr:rowOff>9525</xdr:rowOff>
    </xdr:from>
    <xdr:ext cx="571500" cy="571500"/>
    <xdr:pic>
      <xdr:nvPicPr>
        <xdr:cNvPr id="4" name="/xl/media/image31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</xdr:row>
      <xdr:rowOff>9525</xdr:rowOff>
    </xdr:from>
    <xdr:ext cx="571500" cy="571500"/>
    <xdr:pic>
      <xdr:nvPicPr>
        <xdr:cNvPr id="5" name="/xl/media/image32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</xdr:row>
      <xdr:rowOff>9525</xdr:rowOff>
    </xdr:from>
    <xdr:ext cx="571500" cy="571500"/>
    <xdr:pic>
      <xdr:nvPicPr>
        <xdr:cNvPr id="6" name="/xl/media/image33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</xdr:row>
      <xdr:rowOff>9525</xdr:rowOff>
    </xdr:from>
    <xdr:ext cx="571500" cy="571500"/>
    <xdr:pic>
      <xdr:nvPicPr>
        <xdr:cNvPr id="7" name="/xl/media/image34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</xdr:row>
      <xdr:rowOff>9525</xdr:rowOff>
    </xdr:from>
    <xdr:ext cx="571500" cy="571500"/>
    <xdr:pic>
      <xdr:nvPicPr>
        <xdr:cNvPr id="8" name="/xl/media/image35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</xdr:row>
      <xdr:rowOff>9525</xdr:rowOff>
    </xdr:from>
    <xdr:ext cx="571500" cy="571500"/>
    <xdr:pic>
      <xdr:nvPicPr>
        <xdr:cNvPr id="9" name="/xl/media/image36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19050</xdr:rowOff>
    </xdr:from>
    <xdr:ext cx="647700" cy="647700"/>
    <xdr:pic>
      <xdr:nvPicPr>
        <xdr:cNvPr id="10" name="/xl/media/image37.pn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</xdr:row>
      <xdr:rowOff>9525</xdr:rowOff>
    </xdr:from>
    <xdr:ext cx="571500" cy="571500"/>
    <xdr:pic>
      <xdr:nvPicPr>
        <xdr:cNvPr id="11" name="/xl/media/image31.pn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</xdr:row>
      <xdr:rowOff>9525</xdr:rowOff>
    </xdr:from>
    <xdr:ext cx="571500" cy="571500"/>
    <xdr:pic>
      <xdr:nvPicPr>
        <xdr:cNvPr id="12" name="/xl/media/image32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</xdr:row>
      <xdr:rowOff>9525</xdr:rowOff>
    </xdr:from>
    <xdr:ext cx="571500" cy="571500"/>
    <xdr:pic>
      <xdr:nvPicPr>
        <xdr:cNvPr id="13" name="/xl/media/image33.pn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</xdr:row>
      <xdr:rowOff>9525</xdr:rowOff>
    </xdr:from>
    <xdr:ext cx="571500" cy="571500"/>
    <xdr:pic>
      <xdr:nvPicPr>
        <xdr:cNvPr id="14" name="/xl/media/image34.png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</xdr:row>
      <xdr:rowOff>9525</xdr:rowOff>
    </xdr:from>
    <xdr:ext cx="571500" cy="571500"/>
    <xdr:pic>
      <xdr:nvPicPr>
        <xdr:cNvPr id="15" name="/xl/media/image35.png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</xdr:row>
      <xdr:rowOff>9525</xdr:rowOff>
    </xdr:from>
    <xdr:ext cx="571500" cy="571500"/>
    <xdr:pic>
      <xdr:nvPicPr>
        <xdr:cNvPr id="16" name="/xl/media/image36.pn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428625</xdr:rowOff>
    </xdr:from>
    <xdr:ext cx="1438275" cy="1438275"/>
    <xdr:pic>
      <xdr:nvPicPr>
        <xdr:cNvPr id="17" name="/xl/media/image38.pn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</xdr:row>
      <xdr:rowOff>19050</xdr:rowOff>
    </xdr:from>
    <xdr:ext cx="647700" cy="647700"/>
    <xdr:pic>
      <xdr:nvPicPr>
        <xdr:cNvPr id="18" name="/xl/media/image39.pn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</xdr:row>
      <xdr:rowOff>9525</xdr:rowOff>
    </xdr:from>
    <xdr:ext cx="571500" cy="571500"/>
    <xdr:pic>
      <xdr:nvPicPr>
        <xdr:cNvPr id="19" name="/xl/media/image31.pn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</xdr:row>
      <xdr:rowOff>9525</xdr:rowOff>
    </xdr:from>
    <xdr:ext cx="571500" cy="571500"/>
    <xdr:pic>
      <xdr:nvPicPr>
        <xdr:cNvPr id="20" name="/xl/media/image32.pn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</xdr:row>
      <xdr:rowOff>9525</xdr:rowOff>
    </xdr:from>
    <xdr:ext cx="571500" cy="571500"/>
    <xdr:pic>
      <xdr:nvPicPr>
        <xdr:cNvPr id="21" name="/xl/media/image33.pn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</xdr:row>
      <xdr:rowOff>9525</xdr:rowOff>
    </xdr:from>
    <xdr:ext cx="571500" cy="571500"/>
    <xdr:pic>
      <xdr:nvPicPr>
        <xdr:cNvPr id="22" name="/xl/media/image34.pn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</xdr:row>
      <xdr:rowOff>9525</xdr:rowOff>
    </xdr:from>
    <xdr:ext cx="571500" cy="571500"/>
    <xdr:pic>
      <xdr:nvPicPr>
        <xdr:cNvPr id="23" name="/xl/media/image35.pn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</xdr:row>
      <xdr:rowOff>9525</xdr:rowOff>
    </xdr:from>
    <xdr:ext cx="571500" cy="571500"/>
    <xdr:pic>
      <xdr:nvPicPr>
        <xdr:cNvPr id="24" name="/xl/media/image36.pn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9</xdr:row>
      <xdr:rowOff>19050</xdr:rowOff>
    </xdr:from>
    <xdr:ext cx="647700" cy="647700"/>
    <xdr:pic>
      <xdr:nvPicPr>
        <xdr:cNvPr id="25" name="/xl/media/image40.pn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10</xdr:row>
      <xdr:rowOff>9525</xdr:rowOff>
    </xdr:from>
    <xdr:ext cx="571500" cy="571500"/>
    <xdr:pic>
      <xdr:nvPicPr>
        <xdr:cNvPr id="26" name="/xl/media/image31.pn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10</xdr:row>
      <xdr:rowOff>9525</xdr:rowOff>
    </xdr:from>
    <xdr:ext cx="571500" cy="571500"/>
    <xdr:pic>
      <xdr:nvPicPr>
        <xdr:cNvPr id="27" name="/xl/media/image32.pn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10</xdr:row>
      <xdr:rowOff>9525</xdr:rowOff>
    </xdr:from>
    <xdr:ext cx="571500" cy="571500"/>
    <xdr:pic>
      <xdr:nvPicPr>
        <xdr:cNvPr id="28" name="/xl/media/image33.pn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12</xdr:row>
      <xdr:rowOff>9525</xdr:rowOff>
    </xdr:from>
    <xdr:ext cx="571500" cy="571500"/>
    <xdr:pic>
      <xdr:nvPicPr>
        <xdr:cNvPr id="29" name="/xl/media/image34.pn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12</xdr:row>
      <xdr:rowOff>9525</xdr:rowOff>
    </xdr:from>
    <xdr:ext cx="571500" cy="571500"/>
    <xdr:pic>
      <xdr:nvPicPr>
        <xdr:cNvPr id="30" name="/xl/media/image35.pn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12</xdr:row>
      <xdr:rowOff>9525</xdr:rowOff>
    </xdr:from>
    <xdr:ext cx="571500" cy="571500"/>
    <xdr:pic>
      <xdr:nvPicPr>
        <xdr:cNvPr id="31" name="/xl/media/image36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</xdr:row>
      <xdr:rowOff>428625</xdr:rowOff>
    </xdr:from>
    <xdr:ext cx="1438275" cy="1438275"/>
    <xdr:pic>
      <xdr:nvPicPr>
        <xdr:cNvPr id="32" name="/xl/media/image41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16</xdr:row>
      <xdr:rowOff>19050</xdr:rowOff>
    </xdr:from>
    <xdr:ext cx="647700" cy="647700"/>
    <xdr:pic>
      <xdr:nvPicPr>
        <xdr:cNvPr id="33" name="/xl/media/image42.pn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</xdr:row>
      <xdr:rowOff>9525</xdr:rowOff>
    </xdr:from>
    <xdr:ext cx="571500" cy="571500"/>
    <xdr:pic>
      <xdr:nvPicPr>
        <xdr:cNvPr id="34" name="/xl/media/image31.pn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</xdr:row>
      <xdr:rowOff>9525</xdr:rowOff>
    </xdr:from>
    <xdr:ext cx="571500" cy="571500"/>
    <xdr:pic>
      <xdr:nvPicPr>
        <xdr:cNvPr id="35" name="/xl/media/image32.pn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</xdr:row>
      <xdr:rowOff>9525</xdr:rowOff>
    </xdr:from>
    <xdr:ext cx="571500" cy="571500"/>
    <xdr:pic>
      <xdr:nvPicPr>
        <xdr:cNvPr id="36" name="/xl/media/image33.pn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</xdr:row>
      <xdr:rowOff>9525</xdr:rowOff>
    </xdr:from>
    <xdr:ext cx="571500" cy="571500"/>
    <xdr:pic>
      <xdr:nvPicPr>
        <xdr:cNvPr id="37" name="/xl/media/image34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</xdr:row>
      <xdr:rowOff>9525</xdr:rowOff>
    </xdr:from>
    <xdr:ext cx="571500" cy="571500"/>
    <xdr:pic>
      <xdr:nvPicPr>
        <xdr:cNvPr id="38" name="/xl/media/image35.pn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</xdr:row>
      <xdr:rowOff>9525</xdr:rowOff>
    </xdr:from>
    <xdr:ext cx="571500" cy="571500"/>
    <xdr:pic>
      <xdr:nvPicPr>
        <xdr:cNvPr id="39" name="/xl/media/image36.png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</xdr:row>
      <xdr:rowOff>428625</xdr:rowOff>
    </xdr:from>
    <xdr:ext cx="1438275" cy="1438275"/>
    <xdr:pic>
      <xdr:nvPicPr>
        <xdr:cNvPr id="40" name="/xl/media/image43.png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</xdr:row>
      <xdr:rowOff>19050</xdr:rowOff>
    </xdr:from>
    <xdr:ext cx="647700" cy="647700"/>
    <xdr:pic>
      <xdr:nvPicPr>
        <xdr:cNvPr id="41" name="/xl/media/image44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</xdr:row>
      <xdr:rowOff>9525</xdr:rowOff>
    </xdr:from>
    <xdr:ext cx="571500" cy="571500"/>
    <xdr:pic>
      <xdr:nvPicPr>
        <xdr:cNvPr id="42" name="/xl/media/image31.png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</xdr:row>
      <xdr:rowOff>9525</xdr:rowOff>
    </xdr:from>
    <xdr:ext cx="571500" cy="571500"/>
    <xdr:pic>
      <xdr:nvPicPr>
        <xdr:cNvPr id="43" name="/xl/media/image32.png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</xdr:row>
      <xdr:rowOff>9525</xdr:rowOff>
    </xdr:from>
    <xdr:ext cx="571500" cy="571500"/>
    <xdr:pic>
      <xdr:nvPicPr>
        <xdr:cNvPr id="44" name="/xl/media/image33.png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</xdr:row>
      <xdr:rowOff>9525</xdr:rowOff>
    </xdr:from>
    <xdr:ext cx="571500" cy="571500"/>
    <xdr:pic>
      <xdr:nvPicPr>
        <xdr:cNvPr id="45" name="/xl/media/image34.png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</xdr:row>
      <xdr:rowOff>9525</xdr:rowOff>
    </xdr:from>
    <xdr:ext cx="571500" cy="571500"/>
    <xdr:pic>
      <xdr:nvPicPr>
        <xdr:cNvPr id="46" name="/xl/media/image35.png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</xdr:row>
      <xdr:rowOff>9525</xdr:rowOff>
    </xdr:from>
    <xdr:ext cx="571500" cy="571500"/>
    <xdr:pic>
      <xdr:nvPicPr>
        <xdr:cNvPr id="47" name="/xl/media/image36.png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</xdr:row>
      <xdr:rowOff>428625</xdr:rowOff>
    </xdr:from>
    <xdr:ext cx="1438275" cy="1438275"/>
    <xdr:pic>
      <xdr:nvPicPr>
        <xdr:cNvPr id="48" name="/xl/media/image45.pn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</xdr:row>
      <xdr:rowOff>19050</xdr:rowOff>
    </xdr:from>
    <xdr:ext cx="647700" cy="647700"/>
    <xdr:pic>
      <xdr:nvPicPr>
        <xdr:cNvPr id="49" name="/xl/media/image46.png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</xdr:row>
      <xdr:rowOff>9525</xdr:rowOff>
    </xdr:from>
    <xdr:ext cx="571500" cy="571500"/>
    <xdr:pic>
      <xdr:nvPicPr>
        <xdr:cNvPr id="50" name="/xl/media/image31.png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</xdr:row>
      <xdr:rowOff>9525</xdr:rowOff>
    </xdr:from>
    <xdr:ext cx="571500" cy="571500"/>
    <xdr:pic>
      <xdr:nvPicPr>
        <xdr:cNvPr id="51" name="/xl/media/image32.png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</xdr:row>
      <xdr:rowOff>9525</xdr:rowOff>
    </xdr:from>
    <xdr:ext cx="571500" cy="571500"/>
    <xdr:pic>
      <xdr:nvPicPr>
        <xdr:cNvPr id="52" name="/xl/media/image33.png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</xdr:row>
      <xdr:rowOff>9525</xdr:rowOff>
    </xdr:from>
    <xdr:ext cx="571500" cy="571500"/>
    <xdr:pic>
      <xdr:nvPicPr>
        <xdr:cNvPr id="53" name="/xl/media/image34.png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</xdr:row>
      <xdr:rowOff>9525</xdr:rowOff>
    </xdr:from>
    <xdr:ext cx="571500" cy="571500"/>
    <xdr:pic>
      <xdr:nvPicPr>
        <xdr:cNvPr id="54" name="/xl/media/image35.png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</xdr:row>
      <xdr:rowOff>9525</xdr:rowOff>
    </xdr:from>
    <xdr:ext cx="571500" cy="571500"/>
    <xdr:pic>
      <xdr:nvPicPr>
        <xdr:cNvPr id="55" name="/xl/media/image36.png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</xdr:row>
      <xdr:rowOff>428625</xdr:rowOff>
    </xdr:from>
    <xdr:ext cx="1438275" cy="1438275"/>
    <xdr:pic>
      <xdr:nvPicPr>
        <xdr:cNvPr id="56" name="/xl/media/image47.png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</xdr:row>
      <xdr:rowOff>19050</xdr:rowOff>
    </xdr:from>
    <xdr:ext cx="647700" cy="647700"/>
    <xdr:pic>
      <xdr:nvPicPr>
        <xdr:cNvPr id="57" name="/xl/media/image48.png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</xdr:row>
      <xdr:rowOff>9525</xdr:rowOff>
    </xdr:from>
    <xdr:ext cx="571500" cy="571500"/>
    <xdr:pic>
      <xdr:nvPicPr>
        <xdr:cNvPr id="58" name="/xl/media/image31.png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</xdr:row>
      <xdr:rowOff>9525</xdr:rowOff>
    </xdr:from>
    <xdr:ext cx="571500" cy="571500"/>
    <xdr:pic>
      <xdr:nvPicPr>
        <xdr:cNvPr id="59" name="/xl/media/image32.png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</xdr:row>
      <xdr:rowOff>9525</xdr:rowOff>
    </xdr:from>
    <xdr:ext cx="571500" cy="571500"/>
    <xdr:pic>
      <xdr:nvPicPr>
        <xdr:cNvPr id="60" name="/xl/media/image33.png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</xdr:row>
      <xdr:rowOff>9525</xdr:rowOff>
    </xdr:from>
    <xdr:ext cx="571500" cy="571500"/>
    <xdr:pic>
      <xdr:nvPicPr>
        <xdr:cNvPr id="61" name="/xl/media/image34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</xdr:row>
      <xdr:rowOff>9525</xdr:rowOff>
    </xdr:from>
    <xdr:ext cx="571500" cy="571500"/>
    <xdr:pic>
      <xdr:nvPicPr>
        <xdr:cNvPr id="62" name="/xl/media/image35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</xdr:row>
      <xdr:rowOff>9525</xdr:rowOff>
    </xdr:from>
    <xdr:ext cx="571500" cy="571500"/>
    <xdr:pic>
      <xdr:nvPicPr>
        <xdr:cNvPr id="63" name="/xl/media/image36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</xdr:row>
      <xdr:rowOff>428625</xdr:rowOff>
    </xdr:from>
    <xdr:ext cx="1438275" cy="1438275"/>
    <xdr:pic>
      <xdr:nvPicPr>
        <xdr:cNvPr id="64" name="/xl/media/image49.png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44</xdr:row>
      <xdr:rowOff>19050</xdr:rowOff>
    </xdr:from>
    <xdr:ext cx="647700" cy="647700"/>
    <xdr:pic>
      <xdr:nvPicPr>
        <xdr:cNvPr id="65" name="/xl/media/image50.png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</xdr:row>
      <xdr:rowOff>9525</xdr:rowOff>
    </xdr:from>
    <xdr:ext cx="571500" cy="571500"/>
    <xdr:pic>
      <xdr:nvPicPr>
        <xdr:cNvPr id="66" name="/xl/media/image35.png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</xdr:row>
      <xdr:rowOff>9525</xdr:rowOff>
    </xdr:from>
    <xdr:ext cx="571500" cy="571500"/>
    <xdr:pic>
      <xdr:nvPicPr>
        <xdr:cNvPr id="67" name="/xl/media/image33.png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</xdr:row>
      <xdr:rowOff>9525</xdr:rowOff>
    </xdr:from>
    <xdr:ext cx="571500" cy="571500"/>
    <xdr:pic>
      <xdr:nvPicPr>
        <xdr:cNvPr id="68" name="/xl/media/image34.png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</xdr:row>
      <xdr:rowOff>9525</xdr:rowOff>
    </xdr:from>
    <xdr:ext cx="571500" cy="571500"/>
    <xdr:pic>
      <xdr:nvPicPr>
        <xdr:cNvPr id="69" name="/xl/media/image32.png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</xdr:row>
      <xdr:rowOff>9525</xdr:rowOff>
    </xdr:from>
    <xdr:ext cx="571500" cy="571500"/>
    <xdr:pic>
      <xdr:nvPicPr>
        <xdr:cNvPr id="70" name="/xl/media/image31.png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</xdr:row>
      <xdr:rowOff>9525</xdr:rowOff>
    </xdr:from>
    <xdr:ext cx="571500" cy="571500"/>
    <xdr:pic>
      <xdr:nvPicPr>
        <xdr:cNvPr id="71" name="/xl/media/image36.png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</xdr:row>
      <xdr:rowOff>428625</xdr:rowOff>
    </xdr:from>
    <xdr:ext cx="1438275" cy="1438275"/>
    <xdr:pic>
      <xdr:nvPicPr>
        <xdr:cNvPr id="72" name="/xl/media/image51.png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51</xdr:row>
      <xdr:rowOff>19050</xdr:rowOff>
    </xdr:from>
    <xdr:ext cx="647700" cy="647700"/>
    <xdr:pic>
      <xdr:nvPicPr>
        <xdr:cNvPr id="73" name="/xl/media/image52.png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</xdr:row>
      <xdr:rowOff>9525</xdr:rowOff>
    </xdr:from>
    <xdr:ext cx="571500" cy="571500"/>
    <xdr:pic>
      <xdr:nvPicPr>
        <xdr:cNvPr id="74" name="/xl/media/image35.png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</xdr:row>
      <xdr:rowOff>9525</xdr:rowOff>
    </xdr:from>
    <xdr:ext cx="571500" cy="571500"/>
    <xdr:pic>
      <xdr:nvPicPr>
        <xdr:cNvPr id="75" name="/xl/media/image33.png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</xdr:row>
      <xdr:rowOff>9525</xdr:rowOff>
    </xdr:from>
    <xdr:ext cx="571500" cy="571500"/>
    <xdr:pic>
      <xdr:nvPicPr>
        <xdr:cNvPr id="76" name="/xl/media/image34.png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</xdr:row>
      <xdr:rowOff>9525</xdr:rowOff>
    </xdr:from>
    <xdr:ext cx="571500" cy="571500"/>
    <xdr:pic>
      <xdr:nvPicPr>
        <xdr:cNvPr id="77" name="/xl/media/image32.png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</xdr:row>
      <xdr:rowOff>9525</xdr:rowOff>
    </xdr:from>
    <xdr:ext cx="571500" cy="571500"/>
    <xdr:pic>
      <xdr:nvPicPr>
        <xdr:cNvPr id="78" name="/xl/media/image36.png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51</xdr:row>
      <xdr:rowOff>19050</xdr:rowOff>
    </xdr:from>
    <xdr:ext cx="647700" cy="647700"/>
    <xdr:pic>
      <xdr:nvPicPr>
        <xdr:cNvPr id="79" name="/xl/media/image53.png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52</xdr:row>
      <xdr:rowOff>9525</xdr:rowOff>
    </xdr:from>
    <xdr:ext cx="571500" cy="571500"/>
    <xdr:pic>
      <xdr:nvPicPr>
        <xdr:cNvPr id="80" name="/xl/media/image35.png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52</xdr:row>
      <xdr:rowOff>9525</xdr:rowOff>
    </xdr:from>
    <xdr:ext cx="571500" cy="571500"/>
    <xdr:pic>
      <xdr:nvPicPr>
        <xdr:cNvPr id="81" name="/xl/media/image33.png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52</xdr:row>
      <xdr:rowOff>9525</xdr:rowOff>
    </xdr:from>
    <xdr:ext cx="571500" cy="571500"/>
    <xdr:pic>
      <xdr:nvPicPr>
        <xdr:cNvPr id="82" name="/xl/media/image34.png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54</xdr:row>
      <xdr:rowOff>9525</xdr:rowOff>
    </xdr:from>
    <xdr:ext cx="571500" cy="571500"/>
    <xdr:pic>
      <xdr:nvPicPr>
        <xdr:cNvPr id="83" name="/xl/media/image32.png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54</xdr:row>
      <xdr:rowOff>9525</xdr:rowOff>
    </xdr:from>
    <xdr:ext cx="571500" cy="571500"/>
    <xdr:pic>
      <xdr:nvPicPr>
        <xdr:cNvPr id="84" name="/xl/media/image36.png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</xdr:row>
      <xdr:rowOff>428625</xdr:rowOff>
    </xdr:from>
    <xdr:ext cx="1438275" cy="1438275"/>
    <xdr:pic>
      <xdr:nvPicPr>
        <xdr:cNvPr id="85" name="/xl/media/image54.png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58</xdr:row>
      <xdr:rowOff>19050</xdr:rowOff>
    </xdr:from>
    <xdr:ext cx="647700" cy="647700"/>
    <xdr:pic>
      <xdr:nvPicPr>
        <xdr:cNvPr id="86" name="/xl/media/image55.png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</xdr:row>
      <xdr:rowOff>9525</xdr:rowOff>
    </xdr:from>
    <xdr:ext cx="571500" cy="571500"/>
    <xdr:pic>
      <xdr:nvPicPr>
        <xdr:cNvPr id="87" name="/xl/media/image35.png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</xdr:row>
      <xdr:rowOff>9525</xdr:rowOff>
    </xdr:from>
    <xdr:ext cx="571500" cy="571500"/>
    <xdr:pic>
      <xdr:nvPicPr>
        <xdr:cNvPr id="88" name="/xl/media/image33.png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</xdr:row>
      <xdr:rowOff>9525</xdr:rowOff>
    </xdr:from>
    <xdr:ext cx="571500" cy="571500"/>
    <xdr:pic>
      <xdr:nvPicPr>
        <xdr:cNvPr id="89" name="/xl/media/image34.png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</xdr:row>
      <xdr:rowOff>9525</xdr:rowOff>
    </xdr:from>
    <xdr:ext cx="571500" cy="571500"/>
    <xdr:pic>
      <xdr:nvPicPr>
        <xdr:cNvPr id="90" name="/xl/media/image32.png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</xdr:row>
      <xdr:rowOff>9525</xdr:rowOff>
    </xdr:from>
    <xdr:ext cx="571500" cy="571500"/>
    <xdr:pic>
      <xdr:nvPicPr>
        <xdr:cNvPr id="91" name="/xl/media/image36.png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</xdr:row>
      <xdr:rowOff>428625</xdr:rowOff>
    </xdr:from>
    <xdr:ext cx="1438275" cy="1438275"/>
    <xdr:pic>
      <xdr:nvPicPr>
        <xdr:cNvPr id="92" name="/xl/media/image56.png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65</xdr:row>
      <xdr:rowOff>19050</xdr:rowOff>
    </xdr:from>
    <xdr:ext cx="647700" cy="647700"/>
    <xdr:pic>
      <xdr:nvPicPr>
        <xdr:cNvPr id="93" name="/xl/media/image57.png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</xdr:row>
      <xdr:rowOff>9525</xdr:rowOff>
    </xdr:from>
    <xdr:ext cx="571500" cy="571500"/>
    <xdr:pic>
      <xdr:nvPicPr>
        <xdr:cNvPr id="94" name="/xl/media/image35.png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</xdr:row>
      <xdr:rowOff>9525</xdr:rowOff>
    </xdr:from>
    <xdr:ext cx="571500" cy="571500"/>
    <xdr:pic>
      <xdr:nvPicPr>
        <xdr:cNvPr id="95" name="/xl/media/image33.png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</xdr:row>
      <xdr:rowOff>9525</xdr:rowOff>
    </xdr:from>
    <xdr:ext cx="571500" cy="571500"/>
    <xdr:pic>
      <xdr:nvPicPr>
        <xdr:cNvPr id="96" name="/xl/media/image34.png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</xdr:row>
      <xdr:rowOff>9525</xdr:rowOff>
    </xdr:from>
    <xdr:ext cx="571500" cy="571500"/>
    <xdr:pic>
      <xdr:nvPicPr>
        <xdr:cNvPr id="97" name="/xl/media/image32.png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</xdr:row>
      <xdr:rowOff>9525</xdr:rowOff>
    </xdr:from>
    <xdr:ext cx="571500" cy="571500"/>
    <xdr:pic>
      <xdr:nvPicPr>
        <xdr:cNvPr id="98" name="/xl/media/image36.png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</xdr:row>
      <xdr:rowOff>428625</xdr:rowOff>
    </xdr:from>
    <xdr:ext cx="1438275" cy="1438275"/>
    <xdr:pic>
      <xdr:nvPicPr>
        <xdr:cNvPr id="99" name="/xl/media/image58.png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72</xdr:row>
      <xdr:rowOff>19050</xdr:rowOff>
    </xdr:from>
    <xdr:ext cx="647700" cy="647700"/>
    <xdr:pic>
      <xdr:nvPicPr>
        <xdr:cNvPr id="100" name="/xl/media/image58.png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</xdr:row>
      <xdr:rowOff>9525</xdr:rowOff>
    </xdr:from>
    <xdr:ext cx="571500" cy="571500"/>
    <xdr:pic>
      <xdr:nvPicPr>
        <xdr:cNvPr id="101" name="/xl/media/image31.png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</xdr:row>
      <xdr:rowOff>9525</xdr:rowOff>
    </xdr:from>
    <xdr:ext cx="571500" cy="571500"/>
    <xdr:pic>
      <xdr:nvPicPr>
        <xdr:cNvPr id="102" name="/xl/media/image32.png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</xdr:row>
      <xdr:rowOff>9525</xdr:rowOff>
    </xdr:from>
    <xdr:ext cx="571500" cy="571500"/>
    <xdr:pic>
      <xdr:nvPicPr>
        <xdr:cNvPr id="103" name="/xl/media/image33.png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</xdr:row>
      <xdr:rowOff>9525</xdr:rowOff>
    </xdr:from>
    <xdr:ext cx="571500" cy="571500"/>
    <xdr:pic>
      <xdr:nvPicPr>
        <xdr:cNvPr id="104" name="/xl/media/image34.png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</xdr:row>
      <xdr:rowOff>9525</xdr:rowOff>
    </xdr:from>
    <xdr:ext cx="571500" cy="571500"/>
    <xdr:pic>
      <xdr:nvPicPr>
        <xdr:cNvPr id="105" name="/xl/media/image35.png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75</xdr:row>
      <xdr:rowOff>9525</xdr:rowOff>
    </xdr:from>
    <xdr:ext cx="571500" cy="571500"/>
    <xdr:pic>
      <xdr:nvPicPr>
        <xdr:cNvPr id="106" name="/xl/media/image36.png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</xdr:row>
      <xdr:rowOff>428625</xdr:rowOff>
    </xdr:from>
    <xdr:ext cx="1438275" cy="1438275"/>
    <xdr:pic>
      <xdr:nvPicPr>
        <xdr:cNvPr id="107" name="/xl/media/image59.png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79</xdr:row>
      <xdr:rowOff>19050</xdr:rowOff>
    </xdr:from>
    <xdr:ext cx="647700" cy="647700"/>
    <xdr:pic>
      <xdr:nvPicPr>
        <xdr:cNvPr id="108" name="/xl/media/image60.png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</xdr:row>
      <xdr:rowOff>9525</xdr:rowOff>
    </xdr:from>
    <xdr:ext cx="571500" cy="571500"/>
    <xdr:pic>
      <xdr:nvPicPr>
        <xdr:cNvPr id="109" name="/xl/media/image35.png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</xdr:row>
      <xdr:rowOff>9525</xdr:rowOff>
    </xdr:from>
    <xdr:ext cx="571500" cy="571500"/>
    <xdr:pic>
      <xdr:nvPicPr>
        <xdr:cNvPr id="110" name="/xl/media/image33.png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</xdr:row>
      <xdr:rowOff>9525</xdr:rowOff>
    </xdr:from>
    <xdr:ext cx="571500" cy="571500"/>
    <xdr:pic>
      <xdr:nvPicPr>
        <xdr:cNvPr id="111" name="/xl/media/image31.png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</xdr:row>
      <xdr:rowOff>9525</xdr:rowOff>
    </xdr:from>
    <xdr:ext cx="571500" cy="571500"/>
    <xdr:pic>
      <xdr:nvPicPr>
        <xdr:cNvPr id="112" name="/xl/media/image34.png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</xdr:row>
      <xdr:rowOff>9525</xdr:rowOff>
    </xdr:from>
    <xdr:ext cx="571500" cy="571500"/>
    <xdr:pic>
      <xdr:nvPicPr>
        <xdr:cNvPr id="113" name="/xl/media/image32.png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82</xdr:row>
      <xdr:rowOff>9525</xdr:rowOff>
    </xdr:from>
    <xdr:ext cx="571500" cy="571500"/>
    <xdr:pic>
      <xdr:nvPicPr>
        <xdr:cNvPr id="114" name="/xl/media/image36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</xdr:row>
      <xdr:rowOff>428625</xdr:rowOff>
    </xdr:from>
    <xdr:ext cx="1438275" cy="1438275"/>
    <xdr:pic>
      <xdr:nvPicPr>
        <xdr:cNvPr id="115" name="/xl/media/image61.png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86</xdr:row>
      <xdr:rowOff>19050</xdr:rowOff>
    </xdr:from>
    <xdr:ext cx="647700" cy="647700"/>
    <xdr:pic>
      <xdr:nvPicPr>
        <xdr:cNvPr id="116" name="/xl/media/image62.png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</xdr:row>
      <xdr:rowOff>9525</xdr:rowOff>
    </xdr:from>
    <xdr:ext cx="571500" cy="571500"/>
    <xdr:pic>
      <xdr:nvPicPr>
        <xdr:cNvPr id="117" name="/xl/media/image35.png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</xdr:row>
      <xdr:rowOff>9525</xdr:rowOff>
    </xdr:from>
    <xdr:ext cx="571500" cy="571500"/>
    <xdr:pic>
      <xdr:nvPicPr>
        <xdr:cNvPr id="118" name="/xl/media/image33.png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</xdr:row>
      <xdr:rowOff>9525</xdr:rowOff>
    </xdr:from>
    <xdr:ext cx="571500" cy="571500"/>
    <xdr:pic>
      <xdr:nvPicPr>
        <xdr:cNvPr id="119" name="/xl/media/image31.png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</xdr:row>
      <xdr:rowOff>9525</xdr:rowOff>
    </xdr:from>
    <xdr:ext cx="571500" cy="571500"/>
    <xdr:pic>
      <xdr:nvPicPr>
        <xdr:cNvPr id="120" name="/xl/media/image34.png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89</xdr:row>
      <xdr:rowOff>9525</xdr:rowOff>
    </xdr:from>
    <xdr:ext cx="571500" cy="571500"/>
    <xdr:pic>
      <xdr:nvPicPr>
        <xdr:cNvPr id="121" name="/xl/media/image32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89</xdr:row>
      <xdr:rowOff>9525</xdr:rowOff>
    </xdr:from>
    <xdr:ext cx="571500" cy="571500"/>
    <xdr:pic>
      <xdr:nvPicPr>
        <xdr:cNvPr id="122" name="/xl/media/image36.png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86</xdr:row>
      <xdr:rowOff>19050</xdr:rowOff>
    </xdr:from>
    <xdr:ext cx="647700" cy="647700"/>
    <xdr:pic>
      <xdr:nvPicPr>
        <xdr:cNvPr id="123" name="/xl/media/image63.png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87</xdr:row>
      <xdr:rowOff>9525</xdr:rowOff>
    </xdr:from>
    <xdr:ext cx="571500" cy="571500"/>
    <xdr:pic>
      <xdr:nvPicPr>
        <xdr:cNvPr id="124" name="/xl/media/image35.png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87</xdr:row>
      <xdr:rowOff>9525</xdr:rowOff>
    </xdr:from>
    <xdr:ext cx="571500" cy="571500"/>
    <xdr:pic>
      <xdr:nvPicPr>
        <xdr:cNvPr id="125" name="/xl/media/image33.png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87</xdr:row>
      <xdr:rowOff>9525</xdr:rowOff>
    </xdr:from>
    <xdr:ext cx="571500" cy="571500"/>
    <xdr:pic>
      <xdr:nvPicPr>
        <xdr:cNvPr id="126" name="/xl/media/image31.png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89</xdr:row>
      <xdr:rowOff>9525</xdr:rowOff>
    </xdr:from>
    <xdr:ext cx="571500" cy="571500"/>
    <xdr:pic>
      <xdr:nvPicPr>
        <xdr:cNvPr id="127" name="/xl/media/image34.png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89</xdr:row>
      <xdr:rowOff>9525</xdr:rowOff>
    </xdr:from>
    <xdr:ext cx="571500" cy="571500"/>
    <xdr:pic>
      <xdr:nvPicPr>
        <xdr:cNvPr id="128" name="/xl/media/image32.png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89</xdr:row>
      <xdr:rowOff>9525</xdr:rowOff>
    </xdr:from>
    <xdr:ext cx="571500" cy="571500"/>
    <xdr:pic>
      <xdr:nvPicPr>
        <xdr:cNvPr id="129" name="/xl/media/image36.png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92</xdr:row>
      <xdr:rowOff>428625</xdr:rowOff>
    </xdr:from>
    <xdr:ext cx="1438275" cy="1438275"/>
    <xdr:pic>
      <xdr:nvPicPr>
        <xdr:cNvPr id="130" name="/xl/media/image64.png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93</xdr:row>
      <xdr:rowOff>19050</xdr:rowOff>
    </xdr:from>
    <xdr:ext cx="647700" cy="647700"/>
    <xdr:pic>
      <xdr:nvPicPr>
        <xdr:cNvPr id="131" name="/xl/media/image65.png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</xdr:row>
      <xdr:rowOff>9525</xdr:rowOff>
    </xdr:from>
    <xdr:ext cx="571500" cy="571500"/>
    <xdr:pic>
      <xdr:nvPicPr>
        <xdr:cNvPr id="132" name="/xl/media/image35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</xdr:row>
      <xdr:rowOff>9525</xdr:rowOff>
    </xdr:from>
    <xdr:ext cx="571500" cy="571500"/>
    <xdr:pic>
      <xdr:nvPicPr>
        <xdr:cNvPr id="133" name="/xl/media/image33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94</xdr:row>
      <xdr:rowOff>9525</xdr:rowOff>
    </xdr:from>
    <xdr:ext cx="571500" cy="571500"/>
    <xdr:pic>
      <xdr:nvPicPr>
        <xdr:cNvPr id="134" name="/xl/media/image31.png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96</xdr:row>
      <xdr:rowOff>9525</xdr:rowOff>
    </xdr:from>
    <xdr:ext cx="571500" cy="571500"/>
    <xdr:pic>
      <xdr:nvPicPr>
        <xdr:cNvPr id="135" name="/xl/media/image34.png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96</xdr:row>
      <xdr:rowOff>9525</xdr:rowOff>
    </xdr:from>
    <xdr:ext cx="571500" cy="571500"/>
    <xdr:pic>
      <xdr:nvPicPr>
        <xdr:cNvPr id="136" name="/xl/media/image32.png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96</xdr:row>
      <xdr:rowOff>9525</xdr:rowOff>
    </xdr:from>
    <xdr:ext cx="571500" cy="571500"/>
    <xdr:pic>
      <xdr:nvPicPr>
        <xdr:cNvPr id="137" name="/xl/media/image36.png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99</xdr:row>
      <xdr:rowOff>428625</xdr:rowOff>
    </xdr:from>
    <xdr:ext cx="1438275" cy="1438275"/>
    <xdr:pic>
      <xdr:nvPicPr>
        <xdr:cNvPr id="138" name="/xl/media/image66.png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100</xdr:row>
      <xdr:rowOff>19050</xdr:rowOff>
    </xdr:from>
    <xdr:ext cx="647700" cy="647700"/>
    <xdr:pic>
      <xdr:nvPicPr>
        <xdr:cNvPr id="139" name="/xl/media/image67.png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101</xdr:row>
      <xdr:rowOff>9525</xdr:rowOff>
    </xdr:from>
    <xdr:ext cx="571500" cy="571500"/>
    <xdr:pic>
      <xdr:nvPicPr>
        <xdr:cNvPr id="140" name="/xl/media/image35.png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101</xdr:row>
      <xdr:rowOff>9525</xdr:rowOff>
    </xdr:from>
    <xdr:ext cx="571500" cy="571500"/>
    <xdr:pic>
      <xdr:nvPicPr>
        <xdr:cNvPr id="141" name="/xl/media/image33.png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101</xdr:row>
      <xdr:rowOff>9525</xdr:rowOff>
    </xdr:from>
    <xdr:ext cx="571500" cy="571500"/>
    <xdr:pic>
      <xdr:nvPicPr>
        <xdr:cNvPr id="142" name="/xl/media/image31.png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103</xdr:row>
      <xdr:rowOff>9525</xdr:rowOff>
    </xdr:from>
    <xdr:ext cx="571500" cy="571500"/>
    <xdr:pic>
      <xdr:nvPicPr>
        <xdr:cNvPr id="143" name="/xl/media/image34.png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103</xdr:row>
      <xdr:rowOff>9525</xdr:rowOff>
    </xdr:from>
    <xdr:ext cx="571500" cy="571500"/>
    <xdr:pic>
      <xdr:nvPicPr>
        <xdr:cNvPr id="144" name="/xl/media/image32.png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103</xdr:row>
      <xdr:rowOff>9525</xdr:rowOff>
    </xdr:from>
    <xdr:ext cx="571500" cy="571500"/>
    <xdr:pic>
      <xdr:nvPicPr>
        <xdr:cNvPr id="145" name="/xl/media/image36.png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106</xdr:row>
      <xdr:rowOff>428625</xdr:rowOff>
    </xdr:from>
    <xdr:ext cx="1438275" cy="1438275"/>
    <xdr:pic>
      <xdr:nvPicPr>
        <xdr:cNvPr id="146" name="/xl/media/image68.png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107</xdr:row>
      <xdr:rowOff>19050</xdr:rowOff>
    </xdr:from>
    <xdr:ext cx="647700" cy="647700"/>
    <xdr:pic>
      <xdr:nvPicPr>
        <xdr:cNvPr id="147" name="/xl/media/image69.png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108</xdr:row>
      <xdr:rowOff>9525</xdr:rowOff>
    </xdr:from>
    <xdr:ext cx="571500" cy="571500"/>
    <xdr:pic>
      <xdr:nvPicPr>
        <xdr:cNvPr id="148" name="/xl/media/image31.png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108</xdr:row>
      <xdr:rowOff>9525</xdr:rowOff>
    </xdr:from>
    <xdr:ext cx="571500" cy="571500"/>
    <xdr:pic>
      <xdr:nvPicPr>
        <xdr:cNvPr id="149" name="/xl/media/image32.png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108</xdr:row>
      <xdr:rowOff>9525</xdr:rowOff>
    </xdr:from>
    <xdr:ext cx="571500" cy="571500"/>
    <xdr:pic>
      <xdr:nvPicPr>
        <xdr:cNvPr id="150" name="/xl/media/image33.png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110</xdr:row>
      <xdr:rowOff>9525</xdr:rowOff>
    </xdr:from>
    <xdr:ext cx="571500" cy="571500"/>
    <xdr:pic>
      <xdr:nvPicPr>
        <xdr:cNvPr id="151" name="/xl/media/image34.png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110</xdr:row>
      <xdr:rowOff>9525</xdr:rowOff>
    </xdr:from>
    <xdr:ext cx="571500" cy="571500"/>
    <xdr:pic>
      <xdr:nvPicPr>
        <xdr:cNvPr id="152" name="/xl/media/image35.png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110</xdr:row>
      <xdr:rowOff>9525</xdr:rowOff>
    </xdr:from>
    <xdr:ext cx="571500" cy="571500"/>
    <xdr:pic>
      <xdr:nvPicPr>
        <xdr:cNvPr id="153" name="/xl/media/image36.png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107</xdr:row>
      <xdr:rowOff>19050</xdr:rowOff>
    </xdr:from>
    <xdr:ext cx="647700" cy="647700"/>
    <xdr:pic>
      <xdr:nvPicPr>
        <xdr:cNvPr id="154" name="/xl/media/image70.png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108</xdr:row>
      <xdr:rowOff>9525</xdr:rowOff>
    </xdr:from>
    <xdr:ext cx="571500" cy="571500"/>
    <xdr:pic>
      <xdr:nvPicPr>
        <xdr:cNvPr id="155" name="/xl/media/image31.png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108</xdr:row>
      <xdr:rowOff>9525</xdr:rowOff>
    </xdr:from>
    <xdr:ext cx="571500" cy="571500"/>
    <xdr:pic>
      <xdr:nvPicPr>
        <xdr:cNvPr id="156" name="/xl/media/image32.png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108</xdr:row>
      <xdr:rowOff>9525</xdr:rowOff>
    </xdr:from>
    <xdr:ext cx="571500" cy="571500"/>
    <xdr:pic>
      <xdr:nvPicPr>
        <xdr:cNvPr id="157" name="/xl/media/image33.png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110</xdr:row>
      <xdr:rowOff>9525</xdr:rowOff>
    </xdr:from>
    <xdr:ext cx="571500" cy="571500"/>
    <xdr:pic>
      <xdr:nvPicPr>
        <xdr:cNvPr id="158" name="/xl/media/image34.png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110</xdr:row>
      <xdr:rowOff>9525</xdr:rowOff>
    </xdr:from>
    <xdr:ext cx="571500" cy="571500"/>
    <xdr:pic>
      <xdr:nvPicPr>
        <xdr:cNvPr id="159" name="/xl/media/image35.png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110</xdr:row>
      <xdr:rowOff>9525</xdr:rowOff>
    </xdr:from>
    <xdr:ext cx="571500" cy="571500"/>
    <xdr:pic>
      <xdr:nvPicPr>
        <xdr:cNvPr id="160" name="/xl/media/image36.png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113</xdr:row>
      <xdr:rowOff>428625</xdr:rowOff>
    </xdr:from>
    <xdr:ext cx="1438275" cy="1438275"/>
    <xdr:pic>
      <xdr:nvPicPr>
        <xdr:cNvPr id="161" name="/xl/media/image71.png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114</xdr:row>
      <xdr:rowOff>19050</xdr:rowOff>
    </xdr:from>
    <xdr:ext cx="647700" cy="647700"/>
    <xdr:pic>
      <xdr:nvPicPr>
        <xdr:cNvPr id="162" name="/xl/media/image72.png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115</xdr:row>
      <xdr:rowOff>9525</xdr:rowOff>
    </xdr:from>
    <xdr:ext cx="571500" cy="571500"/>
    <xdr:pic>
      <xdr:nvPicPr>
        <xdr:cNvPr id="163" name="/xl/media/image31.png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115</xdr:row>
      <xdr:rowOff>9525</xdr:rowOff>
    </xdr:from>
    <xdr:ext cx="571500" cy="571500"/>
    <xdr:pic>
      <xdr:nvPicPr>
        <xdr:cNvPr id="164" name="/xl/media/image32.png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115</xdr:row>
      <xdr:rowOff>9525</xdr:rowOff>
    </xdr:from>
    <xdr:ext cx="571500" cy="571500"/>
    <xdr:pic>
      <xdr:nvPicPr>
        <xdr:cNvPr id="165" name="/xl/media/image33.png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117</xdr:row>
      <xdr:rowOff>9525</xdr:rowOff>
    </xdr:from>
    <xdr:ext cx="571500" cy="571500"/>
    <xdr:pic>
      <xdr:nvPicPr>
        <xdr:cNvPr id="166" name="/xl/media/image34.png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117</xdr:row>
      <xdr:rowOff>9525</xdr:rowOff>
    </xdr:from>
    <xdr:ext cx="571500" cy="571500"/>
    <xdr:pic>
      <xdr:nvPicPr>
        <xdr:cNvPr id="167" name="/xl/media/image35.png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117</xdr:row>
      <xdr:rowOff>9525</xdr:rowOff>
    </xdr:from>
    <xdr:ext cx="571500" cy="571500"/>
    <xdr:pic>
      <xdr:nvPicPr>
        <xdr:cNvPr id="168" name="/xl/media/image36.png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120</xdr:row>
      <xdr:rowOff>428625</xdr:rowOff>
    </xdr:from>
    <xdr:ext cx="1438275" cy="1438275"/>
    <xdr:pic>
      <xdr:nvPicPr>
        <xdr:cNvPr id="169" name="/xl/media/image73.png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121</xdr:row>
      <xdr:rowOff>19050</xdr:rowOff>
    </xdr:from>
    <xdr:ext cx="647700" cy="647700"/>
    <xdr:pic>
      <xdr:nvPicPr>
        <xdr:cNvPr id="170" name="/xl/media/image74.png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122</xdr:row>
      <xdr:rowOff>9525</xdr:rowOff>
    </xdr:from>
    <xdr:ext cx="571500" cy="571500"/>
    <xdr:pic>
      <xdr:nvPicPr>
        <xdr:cNvPr id="171" name="/xl/media/image35.png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122</xdr:row>
      <xdr:rowOff>9525</xdr:rowOff>
    </xdr:from>
    <xdr:ext cx="571500" cy="571500"/>
    <xdr:pic>
      <xdr:nvPicPr>
        <xdr:cNvPr id="172" name="/xl/media/image33.png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122</xdr:row>
      <xdr:rowOff>9525</xdr:rowOff>
    </xdr:from>
    <xdr:ext cx="571500" cy="571500"/>
    <xdr:pic>
      <xdr:nvPicPr>
        <xdr:cNvPr id="173" name="/xl/media/image31.png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124</xdr:row>
      <xdr:rowOff>9525</xdr:rowOff>
    </xdr:from>
    <xdr:ext cx="571500" cy="571500"/>
    <xdr:pic>
      <xdr:nvPicPr>
        <xdr:cNvPr id="174" name="/xl/media/image34.png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124</xdr:row>
      <xdr:rowOff>9525</xdr:rowOff>
    </xdr:from>
    <xdr:ext cx="571500" cy="571500"/>
    <xdr:pic>
      <xdr:nvPicPr>
        <xdr:cNvPr id="175" name="/xl/media/image36.png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127</xdr:row>
      <xdr:rowOff>428625</xdr:rowOff>
    </xdr:from>
    <xdr:ext cx="1438275" cy="1438275"/>
    <xdr:pic>
      <xdr:nvPicPr>
        <xdr:cNvPr id="176" name="/xl/media/image75.png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128</xdr:row>
      <xdr:rowOff>19050</xdr:rowOff>
    </xdr:from>
    <xdr:ext cx="647700" cy="647700"/>
    <xdr:pic>
      <xdr:nvPicPr>
        <xdr:cNvPr id="177" name="/xl/media/image76.png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129</xdr:row>
      <xdr:rowOff>9525</xdr:rowOff>
    </xdr:from>
    <xdr:ext cx="571500" cy="571500"/>
    <xdr:pic>
      <xdr:nvPicPr>
        <xdr:cNvPr id="178" name="/xl/media/image35.png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129</xdr:row>
      <xdr:rowOff>9525</xdr:rowOff>
    </xdr:from>
    <xdr:ext cx="571500" cy="571500"/>
    <xdr:pic>
      <xdr:nvPicPr>
        <xdr:cNvPr id="179" name="/xl/media/image33.png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129</xdr:row>
      <xdr:rowOff>9525</xdr:rowOff>
    </xdr:from>
    <xdr:ext cx="571500" cy="571500"/>
    <xdr:pic>
      <xdr:nvPicPr>
        <xdr:cNvPr id="180" name="/xl/media/image31.png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131</xdr:row>
      <xdr:rowOff>9525</xdr:rowOff>
    </xdr:from>
    <xdr:ext cx="571500" cy="571500"/>
    <xdr:pic>
      <xdr:nvPicPr>
        <xdr:cNvPr id="181" name="/xl/media/image34.png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131</xdr:row>
      <xdr:rowOff>9525</xdr:rowOff>
    </xdr:from>
    <xdr:ext cx="571500" cy="571500"/>
    <xdr:pic>
      <xdr:nvPicPr>
        <xdr:cNvPr id="182" name="/xl/media/image36.png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134</xdr:row>
      <xdr:rowOff>428625</xdr:rowOff>
    </xdr:from>
    <xdr:ext cx="1438275" cy="1438275"/>
    <xdr:pic>
      <xdr:nvPicPr>
        <xdr:cNvPr id="183" name="/xl/media/image77.png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135</xdr:row>
      <xdr:rowOff>19050</xdr:rowOff>
    </xdr:from>
    <xdr:ext cx="647700" cy="647700"/>
    <xdr:pic>
      <xdr:nvPicPr>
        <xdr:cNvPr id="184" name="/xl/media/image78.png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136</xdr:row>
      <xdr:rowOff>9525</xdr:rowOff>
    </xdr:from>
    <xdr:ext cx="571500" cy="571500"/>
    <xdr:pic>
      <xdr:nvPicPr>
        <xdr:cNvPr id="185" name="/xl/media/image35.png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136</xdr:row>
      <xdr:rowOff>9525</xdr:rowOff>
    </xdr:from>
    <xdr:ext cx="571500" cy="571500"/>
    <xdr:pic>
      <xdr:nvPicPr>
        <xdr:cNvPr id="186" name="/xl/media/image33.png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136</xdr:row>
      <xdr:rowOff>9525</xdr:rowOff>
    </xdr:from>
    <xdr:ext cx="571500" cy="571500"/>
    <xdr:pic>
      <xdr:nvPicPr>
        <xdr:cNvPr id="187" name="/xl/media/image31.png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138</xdr:row>
      <xdr:rowOff>9525</xdr:rowOff>
    </xdr:from>
    <xdr:ext cx="571500" cy="571500"/>
    <xdr:pic>
      <xdr:nvPicPr>
        <xdr:cNvPr id="188" name="/xl/media/image34.png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138</xdr:row>
      <xdr:rowOff>9525</xdr:rowOff>
    </xdr:from>
    <xdr:ext cx="571500" cy="571500"/>
    <xdr:pic>
      <xdr:nvPicPr>
        <xdr:cNvPr id="189" name="/xl/media/image36.png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141</xdr:row>
      <xdr:rowOff>428625</xdr:rowOff>
    </xdr:from>
    <xdr:ext cx="1438275" cy="1438275"/>
    <xdr:pic>
      <xdr:nvPicPr>
        <xdr:cNvPr id="190" name="/xl/media/image79.png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142</xdr:row>
      <xdr:rowOff>19050</xdr:rowOff>
    </xdr:from>
    <xdr:ext cx="647700" cy="647700"/>
    <xdr:pic>
      <xdr:nvPicPr>
        <xdr:cNvPr id="191" name="/xl/media/image80.png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143</xdr:row>
      <xdr:rowOff>9525</xdr:rowOff>
    </xdr:from>
    <xdr:ext cx="571500" cy="571500"/>
    <xdr:pic>
      <xdr:nvPicPr>
        <xdr:cNvPr id="192" name="/xl/media/image35.png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143</xdr:row>
      <xdr:rowOff>9525</xdr:rowOff>
    </xdr:from>
    <xdr:ext cx="571500" cy="571500"/>
    <xdr:pic>
      <xdr:nvPicPr>
        <xdr:cNvPr id="193" name="/xl/media/image33.png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143</xdr:row>
      <xdr:rowOff>9525</xdr:rowOff>
    </xdr:from>
    <xdr:ext cx="571500" cy="571500"/>
    <xdr:pic>
      <xdr:nvPicPr>
        <xdr:cNvPr id="194" name="/xl/media/image31.png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145</xdr:row>
      <xdr:rowOff>9525</xdr:rowOff>
    </xdr:from>
    <xdr:ext cx="571500" cy="571500"/>
    <xdr:pic>
      <xdr:nvPicPr>
        <xdr:cNvPr id="195" name="/xl/media/image34.png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145</xdr:row>
      <xdr:rowOff>9525</xdr:rowOff>
    </xdr:from>
    <xdr:ext cx="571500" cy="571500"/>
    <xdr:pic>
      <xdr:nvPicPr>
        <xdr:cNvPr id="196" name="/xl/media/image36.png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148</xdr:row>
      <xdr:rowOff>428625</xdr:rowOff>
    </xdr:from>
    <xdr:ext cx="1438275" cy="1438275"/>
    <xdr:pic>
      <xdr:nvPicPr>
        <xdr:cNvPr id="197" name="/xl/media/image81.png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149</xdr:row>
      <xdr:rowOff>19050</xdr:rowOff>
    </xdr:from>
    <xdr:ext cx="647700" cy="647700"/>
    <xdr:pic>
      <xdr:nvPicPr>
        <xdr:cNvPr id="198" name="/xl/media/image82.png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150</xdr:row>
      <xdr:rowOff>9525</xdr:rowOff>
    </xdr:from>
    <xdr:ext cx="571500" cy="571500"/>
    <xdr:pic>
      <xdr:nvPicPr>
        <xdr:cNvPr id="199" name="/xl/media/image83.png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150</xdr:row>
      <xdr:rowOff>9525</xdr:rowOff>
    </xdr:from>
    <xdr:ext cx="571500" cy="571500"/>
    <xdr:pic>
      <xdr:nvPicPr>
        <xdr:cNvPr id="200" name="/xl/media/image84.png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150</xdr:row>
      <xdr:rowOff>9525</xdr:rowOff>
    </xdr:from>
    <xdr:ext cx="571500" cy="571500"/>
    <xdr:pic>
      <xdr:nvPicPr>
        <xdr:cNvPr id="201" name="/xl/media/image85.png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152</xdr:row>
      <xdr:rowOff>9525</xdr:rowOff>
    </xdr:from>
    <xdr:ext cx="571500" cy="571500"/>
    <xdr:pic>
      <xdr:nvPicPr>
        <xdr:cNvPr id="202" name="/xl/media/image86.png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152</xdr:row>
      <xdr:rowOff>9525</xdr:rowOff>
    </xdr:from>
    <xdr:ext cx="571500" cy="571500"/>
    <xdr:pic>
      <xdr:nvPicPr>
        <xdr:cNvPr id="203" name="/xl/media/image87.png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152</xdr:row>
      <xdr:rowOff>9525</xdr:rowOff>
    </xdr:from>
    <xdr:ext cx="571500" cy="571500"/>
    <xdr:pic>
      <xdr:nvPicPr>
        <xdr:cNvPr id="204" name="/xl/media/image36.png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155</xdr:row>
      <xdr:rowOff>428625</xdr:rowOff>
    </xdr:from>
    <xdr:ext cx="1438275" cy="1438275"/>
    <xdr:pic>
      <xdr:nvPicPr>
        <xdr:cNvPr id="205" name="/xl/media/image88.png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157</xdr:row>
      <xdr:rowOff>9525</xdr:rowOff>
    </xdr:from>
    <xdr:ext cx="571500" cy="571500"/>
    <xdr:pic>
      <xdr:nvPicPr>
        <xdr:cNvPr id="206" name="/xl/media/image35.png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157</xdr:row>
      <xdr:rowOff>9525</xdr:rowOff>
    </xdr:from>
    <xdr:ext cx="571500" cy="571500"/>
    <xdr:pic>
      <xdr:nvPicPr>
        <xdr:cNvPr id="207" name="/xl/media/image33.png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157</xdr:row>
      <xdr:rowOff>9525</xdr:rowOff>
    </xdr:from>
    <xdr:ext cx="571500" cy="571500"/>
    <xdr:pic>
      <xdr:nvPicPr>
        <xdr:cNvPr id="208" name="/xl/media/image31.png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159</xdr:row>
      <xdr:rowOff>9525</xdr:rowOff>
    </xdr:from>
    <xdr:ext cx="571500" cy="571500"/>
    <xdr:pic>
      <xdr:nvPicPr>
        <xdr:cNvPr id="209" name="/xl/media/image34.png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159</xdr:row>
      <xdr:rowOff>9525</xdr:rowOff>
    </xdr:from>
    <xdr:ext cx="571500" cy="571500"/>
    <xdr:pic>
      <xdr:nvPicPr>
        <xdr:cNvPr id="210" name="/xl/media/image32.png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159</xdr:row>
      <xdr:rowOff>9525</xdr:rowOff>
    </xdr:from>
    <xdr:ext cx="571500" cy="571500"/>
    <xdr:pic>
      <xdr:nvPicPr>
        <xdr:cNvPr id="211" name="/xl/media/image36.png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162</xdr:row>
      <xdr:rowOff>428625</xdr:rowOff>
    </xdr:from>
    <xdr:ext cx="1438275" cy="1438275"/>
    <xdr:pic>
      <xdr:nvPicPr>
        <xdr:cNvPr id="212" name="/xl/media/image89.png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164</xdr:row>
      <xdr:rowOff>9525</xdr:rowOff>
    </xdr:from>
    <xdr:ext cx="571500" cy="571500"/>
    <xdr:pic>
      <xdr:nvPicPr>
        <xdr:cNvPr id="213" name="/xl/media/image35.png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164</xdr:row>
      <xdr:rowOff>9525</xdr:rowOff>
    </xdr:from>
    <xdr:ext cx="571500" cy="571500"/>
    <xdr:pic>
      <xdr:nvPicPr>
        <xdr:cNvPr id="214" name="/xl/media/image33.png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164</xdr:row>
      <xdr:rowOff>9525</xdr:rowOff>
    </xdr:from>
    <xdr:ext cx="571500" cy="571500"/>
    <xdr:pic>
      <xdr:nvPicPr>
        <xdr:cNvPr id="215" name="/xl/media/image31.png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166</xdr:row>
      <xdr:rowOff>9525</xdr:rowOff>
    </xdr:from>
    <xdr:ext cx="571500" cy="571500"/>
    <xdr:pic>
      <xdr:nvPicPr>
        <xdr:cNvPr id="216" name="/xl/media/image34.png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166</xdr:row>
      <xdr:rowOff>9525</xdr:rowOff>
    </xdr:from>
    <xdr:ext cx="571500" cy="571500"/>
    <xdr:pic>
      <xdr:nvPicPr>
        <xdr:cNvPr id="217" name="/xl/media/image32.png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166</xdr:row>
      <xdr:rowOff>9525</xdr:rowOff>
    </xdr:from>
    <xdr:ext cx="571500" cy="571500"/>
    <xdr:pic>
      <xdr:nvPicPr>
        <xdr:cNvPr id="218" name="/xl/media/image36.png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169</xdr:row>
      <xdr:rowOff>428625</xdr:rowOff>
    </xdr:from>
    <xdr:ext cx="1438275" cy="1438275"/>
    <xdr:pic>
      <xdr:nvPicPr>
        <xdr:cNvPr id="219" name="/xl/media/image90.png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170</xdr:row>
      <xdr:rowOff>19050</xdr:rowOff>
    </xdr:from>
    <xdr:ext cx="647700" cy="647700"/>
    <xdr:pic>
      <xdr:nvPicPr>
        <xdr:cNvPr id="220" name="/xl/media/image91.png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171</xdr:row>
      <xdr:rowOff>9525</xdr:rowOff>
    </xdr:from>
    <xdr:ext cx="571500" cy="571500"/>
    <xdr:pic>
      <xdr:nvPicPr>
        <xdr:cNvPr id="221" name="/xl/media/image86.png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171</xdr:row>
      <xdr:rowOff>9525</xdr:rowOff>
    </xdr:from>
    <xdr:ext cx="571500" cy="571500"/>
    <xdr:pic>
      <xdr:nvPicPr>
        <xdr:cNvPr id="222" name="/xl/media/image87.png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171</xdr:row>
      <xdr:rowOff>9525</xdr:rowOff>
    </xdr:from>
    <xdr:ext cx="571500" cy="571500"/>
    <xdr:pic>
      <xdr:nvPicPr>
        <xdr:cNvPr id="223" name="/xl/media/image85.png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173</xdr:row>
      <xdr:rowOff>9525</xdr:rowOff>
    </xdr:from>
    <xdr:ext cx="571500" cy="571500"/>
    <xdr:pic>
      <xdr:nvPicPr>
        <xdr:cNvPr id="224" name="/xl/media/image84.png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173</xdr:row>
      <xdr:rowOff>9525</xdr:rowOff>
    </xdr:from>
    <xdr:ext cx="571500" cy="571500"/>
    <xdr:pic>
      <xdr:nvPicPr>
        <xdr:cNvPr id="225" name="/xl/media/image36.png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176</xdr:row>
      <xdr:rowOff>428625</xdr:rowOff>
    </xdr:from>
    <xdr:ext cx="1438275" cy="1438275"/>
    <xdr:pic>
      <xdr:nvPicPr>
        <xdr:cNvPr id="226" name="/xl/media/image92.png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177</xdr:row>
      <xdr:rowOff>19050</xdr:rowOff>
    </xdr:from>
    <xdr:ext cx="647700" cy="647700"/>
    <xdr:pic>
      <xdr:nvPicPr>
        <xdr:cNvPr id="227" name="/xl/media/image93.png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178</xdr:row>
      <xdr:rowOff>9525</xdr:rowOff>
    </xdr:from>
    <xdr:ext cx="571500" cy="571500"/>
    <xdr:pic>
      <xdr:nvPicPr>
        <xdr:cNvPr id="228" name="/xl/media/image31.png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178</xdr:row>
      <xdr:rowOff>9525</xdr:rowOff>
    </xdr:from>
    <xdr:ext cx="571500" cy="571500"/>
    <xdr:pic>
      <xdr:nvPicPr>
        <xdr:cNvPr id="229" name="/xl/media/image33.png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178</xdr:row>
      <xdr:rowOff>9525</xdr:rowOff>
    </xdr:from>
    <xdr:ext cx="571500" cy="571500"/>
    <xdr:pic>
      <xdr:nvPicPr>
        <xdr:cNvPr id="230" name="/xl/media/image34.png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180</xdr:row>
      <xdr:rowOff>9525</xdr:rowOff>
    </xdr:from>
    <xdr:ext cx="571500" cy="571500"/>
    <xdr:pic>
      <xdr:nvPicPr>
        <xdr:cNvPr id="231" name="/xl/media/image35.png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180</xdr:row>
      <xdr:rowOff>9525</xdr:rowOff>
    </xdr:from>
    <xdr:ext cx="571500" cy="571500"/>
    <xdr:pic>
      <xdr:nvPicPr>
        <xdr:cNvPr id="232" name="/xl/media/image36.png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183</xdr:row>
      <xdr:rowOff>428625</xdr:rowOff>
    </xdr:from>
    <xdr:ext cx="1438275" cy="1438275"/>
    <xdr:pic>
      <xdr:nvPicPr>
        <xdr:cNvPr id="233" name="/xl/media/image94.png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184</xdr:row>
      <xdr:rowOff>19050</xdr:rowOff>
    </xdr:from>
    <xdr:ext cx="647700" cy="647700"/>
    <xdr:pic>
      <xdr:nvPicPr>
        <xdr:cNvPr id="234" name="/xl/media/image95.png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185</xdr:row>
      <xdr:rowOff>9525</xdr:rowOff>
    </xdr:from>
    <xdr:ext cx="571500" cy="571500"/>
    <xdr:pic>
      <xdr:nvPicPr>
        <xdr:cNvPr id="235" name="/xl/media/image83.png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185</xdr:row>
      <xdr:rowOff>9525</xdr:rowOff>
    </xdr:from>
    <xdr:ext cx="571500" cy="571500"/>
    <xdr:pic>
      <xdr:nvPicPr>
        <xdr:cNvPr id="236" name="/xl/media/image84.png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185</xdr:row>
      <xdr:rowOff>9525</xdr:rowOff>
    </xdr:from>
    <xdr:ext cx="571500" cy="571500"/>
    <xdr:pic>
      <xdr:nvPicPr>
        <xdr:cNvPr id="237" name="/xl/media/image85.png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187</xdr:row>
      <xdr:rowOff>9525</xdr:rowOff>
    </xdr:from>
    <xdr:ext cx="571500" cy="571500"/>
    <xdr:pic>
      <xdr:nvPicPr>
        <xdr:cNvPr id="238" name="/xl/media/image86.png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187</xdr:row>
      <xdr:rowOff>9525</xdr:rowOff>
    </xdr:from>
    <xdr:ext cx="571500" cy="571500"/>
    <xdr:pic>
      <xdr:nvPicPr>
        <xdr:cNvPr id="239" name="/xl/media/image87.png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187</xdr:row>
      <xdr:rowOff>9525</xdr:rowOff>
    </xdr:from>
    <xdr:ext cx="571500" cy="571500"/>
    <xdr:pic>
      <xdr:nvPicPr>
        <xdr:cNvPr id="240" name="/xl/media/image36.png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190</xdr:row>
      <xdr:rowOff>428625</xdr:rowOff>
    </xdr:from>
    <xdr:ext cx="1438275" cy="1438275"/>
    <xdr:pic>
      <xdr:nvPicPr>
        <xdr:cNvPr id="241" name="/xl/media/image39.png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191</xdr:row>
      <xdr:rowOff>19050</xdr:rowOff>
    </xdr:from>
    <xdr:ext cx="647700" cy="647700"/>
    <xdr:pic>
      <xdr:nvPicPr>
        <xdr:cNvPr id="242" name="/xl/media/image96.png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192</xdr:row>
      <xdr:rowOff>9525</xdr:rowOff>
    </xdr:from>
    <xdr:ext cx="571500" cy="571500"/>
    <xdr:pic>
      <xdr:nvPicPr>
        <xdr:cNvPr id="243" name="/xl/media/image31.png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192</xdr:row>
      <xdr:rowOff>9525</xdr:rowOff>
    </xdr:from>
    <xdr:ext cx="571500" cy="571500"/>
    <xdr:pic>
      <xdr:nvPicPr>
        <xdr:cNvPr id="244" name="/xl/media/image32.png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192</xdr:row>
      <xdr:rowOff>9525</xdr:rowOff>
    </xdr:from>
    <xdr:ext cx="571500" cy="571500"/>
    <xdr:pic>
      <xdr:nvPicPr>
        <xdr:cNvPr id="245" name="/xl/media/image33.png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194</xdr:row>
      <xdr:rowOff>9525</xdr:rowOff>
    </xdr:from>
    <xdr:ext cx="571500" cy="571500"/>
    <xdr:pic>
      <xdr:nvPicPr>
        <xdr:cNvPr id="246" name="/xl/media/image34.png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194</xdr:row>
      <xdr:rowOff>9525</xdr:rowOff>
    </xdr:from>
    <xdr:ext cx="571500" cy="571500"/>
    <xdr:pic>
      <xdr:nvPicPr>
        <xdr:cNvPr id="247" name="/xl/media/image35.png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194</xdr:row>
      <xdr:rowOff>9525</xdr:rowOff>
    </xdr:from>
    <xdr:ext cx="571500" cy="571500"/>
    <xdr:pic>
      <xdr:nvPicPr>
        <xdr:cNvPr id="248" name="/xl/media/image36.png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191</xdr:row>
      <xdr:rowOff>19050</xdr:rowOff>
    </xdr:from>
    <xdr:ext cx="647700" cy="647700"/>
    <xdr:pic>
      <xdr:nvPicPr>
        <xdr:cNvPr id="249" name="/xl/media/image96.png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192</xdr:row>
      <xdr:rowOff>9525</xdr:rowOff>
    </xdr:from>
    <xdr:ext cx="571500" cy="571500"/>
    <xdr:pic>
      <xdr:nvPicPr>
        <xdr:cNvPr id="250" name="/xl/media/image83.png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192</xdr:row>
      <xdr:rowOff>9525</xdr:rowOff>
    </xdr:from>
    <xdr:ext cx="571500" cy="571500"/>
    <xdr:pic>
      <xdr:nvPicPr>
        <xdr:cNvPr id="251" name="/xl/media/image84.png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192</xdr:row>
      <xdr:rowOff>9525</xdr:rowOff>
    </xdr:from>
    <xdr:ext cx="571500" cy="571500"/>
    <xdr:pic>
      <xdr:nvPicPr>
        <xdr:cNvPr id="252" name="/xl/media/image85.png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194</xdr:row>
      <xdr:rowOff>9525</xdr:rowOff>
    </xdr:from>
    <xdr:ext cx="571500" cy="571500"/>
    <xdr:pic>
      <xdr:nvPicPr>
        <xdr:cNvPr id="253" name="/xl/media/image86.png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194</xdr:row>
      <xdr:rowOff>9525</xdr:rowOff>
    </xdr:from>
    <xdr:ext cx="571500" cy="571500"/>
    <xdr:pic>
      <xdr:nvPicPr>
        <xdr:cNvPr id="254" name="/xl/media/image87.png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194</xdr:row>
      <xdr:rowOff>9525</xdr:rowOff>
    </xdr:from>
    <xdr:ext cx="571500" cy="571500"/>
    <xdr:pic>
      <xdr:nvPicPr>
        <xdr:cNvPr id="255" name="/xl/media/image36.png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197</xdr:row>
      <xdr:rowOff>428625</xdr:rowOff>
    </xdr:from>
    <xdr:ext cx="1438275" cy="1438275"/>
    <xdr:pic>
      <xdr:nvPicPr>
        <xdr:cNvPr id="256" name="/xl/media/image40.png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198</xdr:row>
      <xdr:rowOff>19050</xdr:rowOff>
    </xdr:from>
    <xdr:ext cx="647700" cy="647700"/>
    <xdr:pic>
      <xdr:nvPicPr>
        <xdr:cNvPr id="257" name="/xl/media/image97.png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199</xdr:row>
      <xdr:rowOff>9525</xdr:rowOff>
    </xdr:from>
    <xdr:ext cx="571500" cy="571500"/>
    <xdr:pic>
      <xdr:nvPicPr>
        <xdr:cNvPr id="258" name="/xl/media/image31.png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199</xdr:row>
      <xdr:rowOff>9525</xdr:rowOff>
    </xdr:from>
    <xdr:ext cx="571500" cy="571500"/>
    <xdr:pic>
      <xdr:nvPicPr>
        <xdr:cNvPr id="259" name="/xl/media/image32.png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199</xdr:row>
      <xdr:rowOff>9525</xdr:rowOff>
    </xdr:from>
    <xdr:ext cx="571500" cy="571500"/>
    <xdr:pic>
      <xdr:nvPicPr>
        <xdr:cNvPr id="260" name="/xl/media/image33.png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201</xdr:row>
      <xdr:rowOff>9525</xdr:rowOff>
    </xdr:from>
    <xdr:ext cx="571500" cy="571500"/>
    <xdr:pic>
      <xdr:nvPicPr>
        <xdr:cNvPr id="261" name="/xl/media/image34.png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201</xdr:row>
      <xdr:rowOff>9525</xdr:rowOff>
    </xdr:from>
    <xdr:ext cx="571500" cy="571500"/>
    <xdr:pic>
      <xdr:nvPicPr>
        <xdr:cNvPr id="262" name="/xl/media/image35.png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201</xdr:row>
      <xdr:rowOff>9525</xdr:rowOff>
    </xdr:from>
    <xdr:ext cx="571500" cy="571500"/>
    <xdr:pic>
      <xdr:nvPicPr>
        <xdr:cNvPr id="263" name="/xl/media/image36.png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198</xdr:row>
      <xdr:rowOff>19050</xdr:rowOff>
    </xdr:from>
    <xdr:ext cx="647700" cy="647700"/>
    <xdr:pic>
      <xdr:nvPicPr>
        <xdr:cNvPr id="264" name="/xl/media/image98.png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199</xdr:row>
      <xdr:rowOff>9525</xdr:rowOff>
    </xdr:from>
    <xdr:ext cx="571500" cy="571500"/>
    <xdr:pic>
      <xdr:nvPicPr>
        <xdr:cNvPr id="265" name="/xl/media/image31.png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199</xdr:row>
      <xdr:rowOff>9525</xdr:rowOff>
    </xdr:from>
    <xdr:ext cx="571500" cy="571500"/>
    <xdr:pic>
      <xdr:nvPicPr>
        <xdr:cNvPr id="266" name="/xl/media/image32.png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199</xdr:row>
      <xdr:rowOff>9525</xdr:rowOff>
    </xdr:from>
    <xdr:ext cx="571500" cy="571500"/>
    <xdr:pic>
      <xdr:nvPicPr>
        <xdr:cNvPr id="267" name="/xl/media/image33.png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201</xdr:row>
      <xdr:rowOff>9525</xdr:rowOff>
    </xdr:from>
    <xdr:ext cx="571500" cy="571500"/>
    <xdr:pic>
      <xdr:nvPicPr>
        <xdr:cNvPr id="268" name="/xl/media/image34.png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201</xdr:row>
      <xdr:rowOff>9525</xdr:rowOff>
    </xdr:from>
    <xdr:ext cx="571500" cy="571500"/>
    <xdr:pic>
      <xdr:nvPicPr>
        <xdr:cNvPr id="269" name="/xl/media/image35.png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201</xdr:row>
      <xdr:rowOff>9525</xdr:rowOff>
    </xdr:from>
    <xdr:ext cx="571500" cy="571500"/>
    <xdr:pic>
      <xdr:nvPicPr>
        <xdr:cNvPr id="270" name="/xl/media/image36.png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0</xdr:colOff>
      <xdr:row>198</xdr:row>
      <xdr:rowOff>19050</xdr:rowOff>
    </xdr:from>
    <xdr:ext cx="647700" cy="647700"/>
    <xdr:pic>
      <xdr:nvPicPr>
        <xdr:cNvPr id="271" name="/xl/media/image97.png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199</xdr:row>
      <xdr:rowOff>9525</xdr:rowOff>
    </xdr:from>
    <xdr:ext cx="571500" cy="571500"/>
    <xdr:pic>
      <xdr:nvPicPr>
        <xdr:cNvPr id="272" name="/xl/media/image83.png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199</xdr:row>
      <xdr:rowOff>9525</xdr:rowOff>
    </xdr:from>
    <xdr:ext cx="571500" cy="571500"/>
    <xdr:pic>
      <xdr:nvPicPr>
        <xdr:cNvPr id="273" name="/xl/media/image84.png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199</xdr:row>
      <xdr:rowOff>9525</xdr:rowOff>
    </xdr:from>
    <xdr:ext cx="571500" cy="571500"/>
    <xdr:pic>
      <xdr:nvPicPr>
        <xdr:cNvPr id="274" name="/xl/media/image85.png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201</xdr:row>
      <xdr:rowOff>9525</xdr:rowOff>
    </xdr:from>
    <xdr:ext cx="571500" cy="571500"/>
    <xdr:pic>
      <xdr:nvPicPr>
        <xdr:cNvPr id="275" name="/xl/media/image86.png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201</xdr:row>
      <xdr:rowOff>9525</xdr:rowOff>
    </xdr:from>
    <xdr:ext cx="571500" cy="571500"/>
    <xdr:pic>
      <xdr:nvPicPr>
        <xdr:cNvPr id="276" name="/xl/media/image87.png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201</xdr:row>
      <xdr:rowOff>9525</xdr:rowOff>
    </xdr:from>
    <xdr:ext cx="571500" cy="571500"/>
    <xdr:pic>
      <xdr:nvPicPr>
        <xdr:cNvPr id="277" name="/xl/media/image36.png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0</xdr:colOff>
      <xdr:row>198</xdr:row>
      <xdr:rowOff>19050</xdr:rowOff>
    </xdr:from>
    <xdr:ext cx="647700" cy="647700"/>
    <xdr:pic>
      <xdr:nvPicPr>
        <xdr:cNvPr id="278" name="/xl/media/image98.png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199</xdr:row>
      <xdr:rowOff>9525</xdr:rowOff>
    </xdr:from>
    <xdr:ext cx="571500" cy="571500"/>
    <xdr:pic>
      <xdr:nvPicPr>
        <xdr:cNvPr id="279" name="/xl/media/image83.png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199</xdr:row>
      <xdr:rowOff>9525</xdr:rowOff>
    </xdr:from>
    <xdr:ext cx="571500" cy="571500"/>
    <xdr:pic>
      <xdr:nvPicPr>
        <xdr:cNvPr id="280" name="/xl/media/image84.png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199</xdr:row>
      <xdr:rowOff>9525</xdr:rowOff>
    </xdr:from>
    <xdr:ext cx="571500" cy="571500"/>
    <xdr:pic>
      <xdr:nvPicPr>
        <xdr:cNvPr id="281" name="/xl/media/image85.png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201</xdr:row>
      <xdr:rowOff>9525</xdr:rowOff>
    </xdr:from>
    <xdr:ext cx="571500" cy="571500"/>
    <xdr:pic>
      <xdr:nvPicPr>
        <xdr:cNvPr id="282" name="/xl/media/image86.png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201</xdr:row>
      <xdr:rowOff>9525</xdr:rowOff>
    </xdr:from>
    <xdr:ext cx="571500" cy="571500"/>
    <xdr:pic>
      <xdr:nvPicPr>
        <xdr:cNvPr id="283" name="/xl/media/image87.png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201</xdr:row>
      <xdr:rowOff>9525</xdr:rowOff>
    </xdr:from>
    <xdr:ext cx="571500" cy="571500"/>
    <xdr:pic>
      <xdr:nvPicPr>
        <xdr:cNvPr id="284" name="/xl/media/image36.png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204</xdr:row>
      <xdr:rowOff>428625</xdr:rowOff>
    </xdr:from>
    <xdr:ext cx="1438275" cy="1438275"/>
    <xdr:pic>
      <xdr:nvPicPr>
        <xdr:cNvPr id="285" name="/xl/media/image37.png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205</xdr:row>
      <xdr:rowOff>19050</xdr:rowOff>
    </xdr:from>
    <xdr:ext cx="647700" cy="647700"/>
    <xdr:pic>
      <xdr:nvPicPr>
        <xdr:cNvPr id="286" name="/xl/media/image99.png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206</xdr:row>
      <xdr:rowOff>9525</xdr:rowOff>
    </xdr:from>
    <xdr:ext cx="571500" cy="571500"/>
    <xdr:pic>
      <xdr:nvPicPr>
        <xdr:cNvPr id="287" name="/xl/media/image31.png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206</xdr:row>
      <xdr:rowOff>9525</xdr:rowOff>
    </xdr:from>
    <xdr:ext cx="571500" cy="571500"/>
    <xdr:pic>
      <xdr:nvPicPr>
        <xdr:cNvPr id="288" name="/xl/media/image32.png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206</xdr:row>
      <xdr:rowOff>9525</xdr:rowOff>
    </xdr:from>
    <xdr:ext cx="571500" cy="571500"/>
    <xdr:pic>
      <xdr:nvPicPr>
        <xdr:cNvPr id="289" name="/xl/media/image33.png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208</xdr:row>
      <xdr:rowOff>9525</xdr:rowOff>
    </xdr:from>
    <xdr:ext cx="571500" cy="571500"/>
    <xdr:pic>
      <xdr:nvPicPr>
        <xdr:cNvPr id="290" name="/xl/media/image34.png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208</xdr:row>
      <xdr:rowOff>9525</xdr:rowOff>
    </xdr:from>
    <xdr:ext cx="571500" cy="571500"/>
    <xdr:pic>
      <xdr:nvPicPr>
        <xdr:cNvPr id="291" name="/xl/media/image35.png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208</xdr:row>
      <xdr:rowOff>9525</xdr:rowOff>
    </xdr:from>
    <xdr:ext cx="571500" cy="571500"/>
    <xdr:pic>
      <xdr:nvPicPr>
        <xdr:cNvPr id="292" name="/xl/media/image36.png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205</xdr:row>
      <xdr:rowOff>19050</xdr:rowOff>
    </xdr:from>
    <xdr:ext cx="647700" cy="647700"/>
    <xdr:pic>
      <xdr:nvPicPr>
        <xdr:cNvPr id="293" name="/xl/media/image99.png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206</xdr:row>
      <xdr:rowOff>9525</xdr:rowOff>
    </xdr:from>
    <xdr:ext cx="571500" cy="571500"/>
    <xdr:pic>
      <xdr:nvPicPr>
        <xdr:cNvPr id="294" name="/xl/media/image83.png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206</xdr:row>
      <xdr:rowOff>9525</xdr:rowOff>
    </xdr:from>
    <xdr:ext cx="571500" cy="571500"/>
    <xdr:pic>
      <xdr:nvPicPr>
        <xdr:cNvPr id="295" name="/xl/media/image84.png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206</xdr:row>
      <xdr:rowOff>9525</xdr:rowOff>
    </xdr:from>
    <xdr:ext cx="571500" cy="571500"/>
    <xdr:pic>
      <xdr:nvPicPr>
        <xdr:cNvPr id="296" name="/xl/media/image85.png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208</xdr:row>
      <xdr:rowOff>9525</xdr:rowOff>
    </xdr:from>
    <xdr:ext cx="571500" cy="571500"/>
    <xdr:pic>
      <xdr:nvPicPr>
        <xdr:cNvPr id="297" name="/xl/media/image86.png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208</xdr:row>
      <xdr:rowOff>9525</xdr:rowOff>
    </xdr:from>
    <xdr:ext cx="571500" cy="571500"/>
    <xdr:pic>
      <xdr:nvPicPr>
        <xdr:cNvPr id="298" name="/xl/media/image87.png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208</xdr:row>
      <xdr:rowOff>9525</xdr:rowOff>
    </xdr:from>
    <xdr:ext cx="571500" cy="571500"/>
    <xdr:pic>
      <xdr:nvPicPr>
        <xdr:cNvPr id="299" name="/xl/media/image36.png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211</xdr:row>
      <xdr:rowOff>428625</xdr:rowOff>
    </xdr:from>
    <xdr:ext cx="1438275" cy="1438275"/>
    <xdr:pic>
      <xdr:nvPicPr>
        <xdr:cNvPr id="300" name="/xl/media/image44.png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212</xdr:row>
      <xdr:rowOff>19050</xdr:rowOff>
    </xdr:from>
    <xdr:ext cx="647700" cy="647700"/>
    <xdr:pic>
      <xdr:nvPicPr>
        <xdr:cNvPr id="301" name="/xl/media/image100.png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213</xdr:row>
      <xdr:rowOff>9525</xdr:rowOff>
    </xdr:from>
    <xdr:ext cx="571500" cy="571500"/>
    <xdr:pic>
      <xdr:nvPicPr>
        <xdr:cNvPr id="302" name="/xl/media/image31.png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213</xdr:row>
      <xdr:rowOff>9525</xdr:rowOff>
    </xdr:from>
    <xdr:ext cx="571500" cy="571500"/>
    <xdr:pic>
      <xdr:nvPicPr>
        <xdr:cNvPr id="303" name="/xl/media/image32.png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213</xdr:row>
      <xdr:rowOff>9525</xdr:rowOff>
    </xdr:from>
    <xdr:ext cx="571500" cy="571500"/>
    <xdr:pic>
      <xdr:nvPicPr>
        <xdr:cNvPr id="304" name="/xl/media/image33.png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215</xdr:row>
      <xdr:rowOff>9525</xdr:rowOff>
    </xdr:from>
    <xdr:ext cx="571500" cy="571500"/>
    <xdr:pic>
      <xdr:nvPicPr>
        <xdr:cNvPr id="305" name="/xl/media/image34.png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215</xdr:row>
      <xdr:rowOff>9525</xdr:rowOff>
    </xdr:from>
    <xdr:ext cx="571500" cy="571500"/>
    <xdr:pic>
      <xdr:nvPicPr>
        <xdr:cNvPr id="306" name="/xl/media/image35.png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215</xdr:row>
      <xdr:rowOff>9525</xdr:rowOff>
    </xdr:from>
    <xdr:ext cx="571500" cy="571500"/>
    <xdr:pic>
      <xdr:nvPicPr>
        <xdr:cNvPr id="307" name="/xl/media/image36.png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212</xdr:row>
      <xdr:rowOff>19050</xdr:rowOff>
    </xdr:from>
    <xdr:ext cx="647700" cy="647700"/>
    <xdr:pic>
      <xdr:nvPicPr>
        <xdr:cNvPr id="308" name="/xl/media/image100.png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213</xdr:row>
      <xdr:rowOff>9525</xdr:rowOff>
    </xdr:from>
    <xdr:ext cx="571500" cy="571500"/>
    <xdr:pic>
      <xdr:nvPicPr>
        <xdr:cNvPr id="309" name="/xl/media/image83.png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213</xdr:row>
      <xdr:rowOff>9525</xdr:rowOff>
    </xdr:from>
    <xdr:ext cx="571500" cy="571500"/>
    <xdr:pic>
      <xdr:nvPicPr>
        <xdr:cNvPr id="310" name="/xl/media/image84.png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213</xdr:row>
      <xdr:rowOff>9525</xdr:rowOff>
    </xdr:from>
    <xdr:ext cx="571500" cy="571500"/>
    <xdr:pic>
      <xdr:nvPicPr>
        <xdr:cNvPr id="311" name="/xl/media/image85.png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215</xdr:row>
      <xdr:rowOff>9525</xdr:rowOff>
    </xdr:from>
    <xdr:ext cx="571500" cy="571500"/>
    <xdr:pic>
      <xdr:nvPicPr>
        <xdr:cNvPr id="312" name="/xl/media/image86.png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215</xdr:row>
      <xdr:rowOff>9525</xdr:rowOff>
    </xdr:from>
    <xdr:ext cx="571500" cy="571500"/>
    <xdr:pic>
      <xdr:nvPicPr>
        <xdr:cNvPr id="313" name="/xl/media/image87.png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215</xdr:row>
      <xdr:rowOff>9525</xdr:rowOff>
    </xdr:from>
    <xdr:ext cx="571500" cy="571500"/>
    <xdr:pic>
      <xdr:nvPicPr>
        <xdr:cNvPr id="314" name="/xl/media/image36.png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218</xdr:row>
      <xdr:rowOff>428625</xdr:rowOff>
    </xdr:from>
    <xdr:ext cx="1438275" cy="1438275"/>
    <xdr:pic>
      <xdr:nvPicPr>
        <xdr:cNvPr id="315" name="/xl/media/image30.png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219</xdr:row>
      <xdr:rowOff>19050</xdr:rowOff>
    </xdr:from>
    <xdr:ext cx="647700" cy="647700"/>
    <xdr:pic>
      <xdr:nvPicPr>
        <xdr:cNvPr id="316" name="/xl/media/image101.png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220</xdr:row>
      <xdr:rowOff>9525</xdr:rowOff>
    </xdr:from>
    <xdr:ext cx="571500" cy="571500"/>
    <xdr:pic>
      <xdr:nvPicPr>
        <xdr:cNvPr id="317" name="/xl/media/image31.png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220</xdr:row>
      <xdr:rowOff>9525</xdr:rowOff>
    </xdr:from>
    <xdr:ext cx="571500" cy="571500"/>
    <xdr:pic>
      <xdr:nvPicPr>
        <xdr:cNvPr id="318" name="/xl/media/image32.png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220</xdr:row>
      <xdr:rowOff>9525</xdr:rowOff>
    </xdr:from>
    <xdr:ext cx="571500" cy="571500"/>
    <xdr:pic>
      <xdr:nvPicPr>
        <xdr:cNvPr id="319" name="/xl/media/image33.png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222</xdr:row>
      <xdr:rowOff>9525</xdr:rowOff>
    </xdr:from>
    <xdr:ext cx="571500" cy="571500"/>
    <xdr:pic>
      <xdr:nvPicPr>
        <xdr:cNvPr id="320" name="/xl/media/image34.png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222</xdr:row>
      <xdr:rowOff>9525</xdr:rowOff>
    </xdr:from>
    <xdr:ext cx="571500" cy="571500"/>
    <xdr:pic>
      <xdr:nvPicPr>
        <xdr:cNvPr id="321" name="/xl/media/image35.png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222</xdr:row>
      <xdr:rowOff>9525</xdr:rowOff>
    </xdr:from>
    <xdr:ext cx="571500" cy="571500"/>
    <xdr:pic>
      <xdr:nvPicPr>
        <xdr:cNvPr id="322" name="/xl/media/image36.png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219</xdr:row>
      <xdr:rowOff>19050</xdr:rowOff>
    </xdr:from>
    <xdr:ext cx="647700" cy="647700"/>
    <xdr:pic>
      <xdr:nvPicPr>
        <xdr:cNvPr id="323" name="/xl/media/image101.png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220</xdr:row>
      <xdr:rowOff>9525</xdr:rowOff>
    </xdr:from>
    <xdr:ext cx="571500" cy="571500"/>
    <xdr:pic>
      <xdr:nvPicPr>
        <xdr:cNvPr id="324" name="/xl/media/image83.png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220</xdr:row>
      <xdr:rowOff>9525</xdr:rowOff>
    </xdr:from>
    <xdr:ext cx="571500" cy="571500"/>
    <xdr:pic>
      <xdr:nvPicPr>
        <xdr:cNvPr id="325" name="/xl/media/image84.png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220</xdr:row>
      <xdr:rowOff>9525</xdr:rowOff>
    </xdr:from>
    <xdr:ext cx="571500" cy="571500"/>
    <xdr:pic>
      <xdr:nvPicPr>
        <xdr:cNvPr id="326" name="/xl/media/image85.png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222</xdr:row>
      <xdr:rowOff>9525</xdr:rowOff>
    </xdr:from>
    <xdr:ext cx="571500" cy="571500"/>
    <xdr:pic>
      <xdr:nvPicPr>
        <xdr:cNvPr id="327" name="/xl/media/image86.png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222</xdr:row>
      <xdr:rowOff>9525</xdr:rowOff>
    </xdr:from>
    <xdr:ext cx="571500" cy="571500"/>
    <xdr:pic>
      <xdr:nvPicPr>
        <xdr:cNvPr id="328" name="/xl/media/image87.png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222</xdr:row>
      <xdr:rowOff>9525</xdr:rowOff>
    </xdr:from>
    <xdr:ext cx="571500" cy="571500"/>
    <xdr:pic>
      <xdr:nvPicPr>
        <xdr:cNvPr id="329" name="/xl/media/image36.png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225</xdr:row>
      <xdr:rowOff>428625</xdr:rowOff>
    </xdr:from>
    <xdr:ext cx="1438275" cy="1438275"/>
    <xdr:pic>
      <xdr:nvPicPr>
        <xdr:cNvPr id="330" name="/xl/media/image46.png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226</xdr:row>
      <xdr:rowOff>19050</xdr:rowOff>
    </xdr:from>
    <xdr:ext cx="647700" cy="647700"/>
    <xdr:pic>
      <xdr:nvPicPr>
        <xdr:cNvPr id="331" name="/xl/media/image102.png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227</xdr:row>
      <xdr:rowOff>9525</xdr:rowOff>
    </xdr:from>
    <xdr:ext cx="571500" cy="571500"/>
    <xdr:pic>
      <xdr:nvPicPr>
        <xdr:cNvPr id="332" name="/xl/media/image31.png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227</xdr:row>
      <xdr:rowOff>9525</xdr:rowOff>
    </xdr:from>
    <xdr:ext cx="571500" cy="571500"/>
    <xdr:pic>
      <xdr:nvPicPr>
        <xdr:cNvPr id="333" name="/xl/media/image32.png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227</xdr:row>
      <xdr:rowOff>9525</xdr:rowOff>
    </xdr:from>
    <xdr:ext cx="571500" cy="571500"/>
    <xdr:pic>
      <xdr:nvPicPr>
        <xdr:cNvPr id="334" name="/xl/media/image33.png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229</xdr:row>
      <xdr:rowOff>9525</xdr:rowOff>
    </xdr:from>
    <xdr:ext cx="571500" cy="571500"/>
    <xdr:pic>
      <xdr:nvPicPr>
        <xdr:cNvPr id="335" name="/xl/media/image34.png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229</xdr:row>
      <xdr:rowOff>9525</xdr:rowOff>
    </xdr:from>
    <xdr:ext cx="571500" cy="571500"/>
    <xdr:pic>
      <xdr:nvPicPr>
        <xdr:cNvPr id="336" name="/xl/media/image35.png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229</xdr:row>
      <xdr:rowOff>9525</xdr:rowOff>
    </xdr:from>
    <xdr:ext cx="571500" cy="571500"/>
    <xdr:pic>
      <xdr:nvPicPr>
        <xdr:cNvPr id="337" name="/xl/media/image36.png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226</xdr:row>
      <xdr:rowOff>19050</xdr:rowOff>
    </xdr:from>
    <xdr:ext cx="647700" cy="647700"/>
    <xdr:pic>
      <xdr:nvPicPr>
        <xdr:cNvPr id="338" name="/xl/media/image102.png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227</xdr:row>
      <xdr:rowOff>9525</xdr:rowOff>
    </xdr:from>
    <xdr:ext cx="571500" cy="571500"/>
    <xdr:pic>
      <xdr:nvPicPr>
        <xdr:cNvPr id="339" name="/xl/media/image83.png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227</xdr:row>
      <xdr:rowOff>9525</xdr:rowOff>
    </xdr:from>
    <xdr:ext cx="571500" cy="571500"/>
    <xdr:pic>
      <xdr:nvPicPr>
        <xdr:cNvPr id="340" name="/xl/media/image84.png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227</xdr:row>
      <xdr:rowOff>9525</xdr:rowOff>
    </xdr:from>
    <xdr:ext cx="571500" cy="571500"/>
    <xdr:pic>
      <xdr:nvPicPr>
        <xdr:cNvPr id="341" name="/xl/media/image85.png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229</xdr:row>
      <xdr:rowOff>9525</xdr:rowOff>
    </xdr:from>
    <xdr:ext cx="571500" cy="571500"/>
    <xdr:pic>
      <xdr:nvPicPr>
        <xdr:cNvPr id="342" name="/xl/media/image86.png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229</xdr:row>
      <xdr:rowOff>9525</xdr:rowOff>
    </xdr:from>
    <xdr:ext cx="571500" cy="571500"/>
    <xdr:pic>
      <xdr:nvPicPr>
        <xdr:cNvPr id="343" name="/xl/media/image87.png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229</xdr:row>
      <xdr:rowOff>9525</xdr:rowOff>
    </xdr:from>
    <xdr:ext cx="571500" cy="571500"/>
    <xdr:pic>
      <xdr:nvPicPr>
        <xdr:cNvPr id="344" name="/xl/media/image36.png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232</xdr:row>
      <xdr:rowOff>428625</xdr:rowOff>
    </xdr:from>
    <xdr:ext cx="1438275" cy="1438275"/>
    <xdr:pic>
      <xdr:nvPicPr>
        <xdr:cNvPr id="345" name="/xl/media/image48.png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233</xdr:row>
      <xdr:rowOff>19050</xdr:rowOff>
    </xdr:from>
    <xdr:ext cx="647700" cy="647700"/>
    <xdr:pic>
      <xdr:nvPicPr>
        <xdr:cNvPr id="346" name="/xl/media/image103.png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234</xdr:row>
      <xdr:rowOff>9525</xdr:rowOff>
    </xdr:from>
    <xdr:ext cx="571500" cy="571500"/>
    <xdr:pic>
      <xdr:nvPicPr>
        <xdr:cNvPr id="347" name="/xl/media/image31.png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234</xdr:row>
      <xdr:rowOff>9525</xdr:rowOff>
    </xdr:from>
    <xdr:ext cx="571500" cy="571500"/>
    <xdr:pic>
      <xdr:nvPicPr>
        <xdr:cNvPr id="348" name="/xl/media/image32.png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234</xdr:row>
      <xdr:rowOff>9525</xdr:rowOff>
    </xdr:from>
    <xdr:ext cx="571500" cy="571500"/>
    <xdr:pic>
      <xdr:nvPicPr>
        <xdr:cNvPr id="349" name="/xl/media/image33.png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236</xdr:row>
      <xdr:rowOff>9525</xdr:rowOff>
    </xdr:from>
    <xdr:ext cx="571500" cy="571500"/>
    <xdr:pic>
      <xdr:nvPicPr>
        <xdr:cNvPr id="350" name="/xl/media/image34.png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236</xdr:row>
      <xdr:rowOff>9525</xdr:rowOff>
    </xdr:from>
    <xdr:ext cx="571500" cy="571500"/>
    <xdr:pic>
      <xdr:nvPicPr>
        <xdr:cNvPr id="351" name="/xl/media/image35.png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236</xdr:row>
      <xdr:rowOff>9525</xdr:rowOff>
    </xdr:from>
    <xdr:ext cx="571500" cy="571500"/>
    <xdr:pic>
      <xdr:nvPicPr>
        <xdr:cNvPr id="352" name="/xl/media/image36.png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233</xdr:row>
      <xdr:rowOff>19050</xdr:rowOff>
    </xdr:from>
    <xdr:ext cx="647700" cy="647700"/>
    <xdr:pic>
      <xdr:nvPicPr>
        <xdr:cNvPr id="353" name="/xl/media/image103.png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234</xdr:row>
      <xdr:rowOff>9525</xdr:rowOff>
    </xdr:from>
    <xdr:ext cx="571500" cy="571500"/>
    <xdr:pic>
      <xdr:nvPicPr>
        <xdr:cNvPr id="354" name="/xl/media/image83.png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234</xdr:row>
      <xdr:rowOff>9525</xdr:rowOff>
    </xdr:from>
    <xdr:ext cx="571500" cy="571500"/>
    <xdr:pic>
      <xdr:nvPicPr>
        <xdr:cNvPr id="355" name="/xl/media/image84.png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234</xdr:row>
      <xdr:rowOff>9525</xdr:rowOff>
    </xdr:from>
    <xdr:ext cx="571500" cy="571500"/>
    <xdr:pic>
      <xdr:nvPicPr>
        <xdr:cNvPr id="356" name="/xl/media/image85.png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236</xdr:row>
      <xdr:rowOff>9525</xdr:rowOff>
    </xdr:from>
    <xdr:ext cx="571500" cy="571500"/>
    <xdr:pic>
      <xdr:nvPicPr>
        <xdr:cNvPr id="357" name="/xl/media/image86.png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236</xdr:row>
      <xdr:rowOff>9525</xdr:rowOff>
    </xdr:from>
    <xdr:ext cx="571500" cy="571500"/>
    <xdr:pic>
      <xdr:nvPicPr>
        <xdr:cNvPr id="358" name="/xl/media/image87.png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236</xdr:row>
      <xdr:rowOff>9525</xdr:rowOff>
    </xdr:from>
    <xdr:ext cx="571500" cy="571500"/>
    <xdr:pic>
      <xdr:nvPicPr>
        <xdr:cNvPr id="359" name="/xl/media/image36.png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239</xdr:row>
      <xdr:rowOff>428625</xdr:rowOff>
    </xdr:from>
    <xdr:ext cx="1438275" cy="1438275"/>
    <xdr:pic>
      <xdr:nvPicPr>
        <xdr:cNvPr id="360" name="/xl/media/image42.png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240</xdr:row>
      <xdr:rowOff>19050</xdr:rowOff>
    </xdr:from>
    <xdr:ext cx="647700" cy="647700"/>
    <xdr:pic>
      <xdr:nvPicPr>
        <xdr:cNvPr id="361" name="/xl/media/image104.png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241</xdr:row>
      <xdr:rowOff>9525</xdr:rowOff>
    </xdr:from>
    <xdr:ext cx="571500" cy="571500"/>
    <xdr:pic>
      <xdr:nvPicPr>
        <xdr:cNvPr id="362" name="/xl/media/image31.png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241</xdr:row>
      <xdr:rowOff>9525</xdr:rowOff>
    </xdr:from>
    <xdr:ext cx="571500" cy="571500"/>
    <xdr:pic>
      <xdr:nvPicPr>
        <xdr:cNvPr id="363" name="/xl/media/image32.png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241</xdr:row>
      <xdr:rowOff>9525</xdr:rowOff>
    </xdr:from>
    <xdr:ext cx="571500" cy="571500"/>
    <xdr:pic>
      <xdr:nvPicPr>
        <xdr:cNvPr id="364" name="/xl/media/image33.png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243</xdr:row>
      <xdr:rowOff>9525</xdr:rowOff>
    </xdr:from>
    <xdr:ext cx="571500" cy="571500"/>
    <xdr:pic>
      <xdr:nvPicPr>
        <xdr:cNvPr id="365" name="/xl/media/image34.png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243</xdr:row>
      <xdr:rowOff>9525</xdr:rowOff>
    </xdr:from>
    <xdr:ext cx="571500" cy="571500"/>
    <xdr:pic>
      <xdr:nvPicPr>
        <xdr:cNvPr id="366" name="/xl/media/image35.png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243</xdr:row>
      <xdr:rowOff>9525</xdr:rowOff>
    </xdr:from>
    <xdr:ext cx="571500" cy="571500"/>
    <xdr:pic>
      <xdr:nvPicPr>
        <xdr:cNvPr id="367" name="/xl/media/image36.png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240</xdr:row>
      <xdr:rowOff>19050</xdr:rowOff>
    </xdr:from>
    <xdr:ext cx="647700" cy="647700"/>
    <xdr:pic>
      <xdr:nvPicPr>
        <xdr:cNvPr id="368" name="/xl/media/image104.png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241</xdr:row>
      <xdr:rowOff>9525</xdr:rowOff>
    </xdr:from>
    <xdr:ext cx="571500" cy="571500"/>
    <xdr:pic>
      <xdr:nvPicPr>
        <xdr:cNvPr id="369" name="/xl/media/image31.png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241</xdr:row>
      <xdr:rowOff>9525</xdr:rowOff>
    </xdr:from>
    <xdr:ext cx="571500" cy="571500"/>
    <xdr:pic>
      <xdr:nvPicPr>
        <xdr:cNvPr id="370" name="/xl/media/image32.png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241</xdr:row>
      <xdr:rowOff>9525</xdr:rowOff>
    </xdr:from>
    <xdr:ext cx="571500" cy="571500"/>
    <xdr:pic>
      <xdr:nvPicPr>
        <xdr:cNvPr id="371" name="/xl/media/image33.png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243</xdr:row>
      <xdr:rowOff>9525</xdr:rowOff>
    </xdr:from>
    <xdr:ext cx="571500" cy="571500"/>
    <xdr:pic>
      <xdr:nvPicPr>
        <xdr:cNvPr id="372" name="/xl/media/image34.png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243</xdr:row>
      <xdr:rowOff>9525</xdr:rowOff>
    </xdr:from>
    <xdr:ext cx="571500" cy="571500"/>
    <xdr:pic>
      <xdr:nvPicPr>
        <xdr:cNvPr id="373" name="/xl/media/image35.png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243</xdr:row>
      <xdr:rowOff>9525</xdr:rowOff>
    </xdr:from>
    <xdr:ext cx="571500" cy="571500"/>
    <xdr:pic>
      <xdr:nvPicPr>
        <xdr:cNvPr id="374" name="/xl/media/image36.png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241</xdr:row>
      <xdr:rowOff>9525</xdr:rowOff>
    </xdr:from>
    <xdr:ext cx="571500" cy="571500"/>
    <xdr:pic>
      <xdr:nvPicPr>
        <xdr:cNvPr id="375" name="/xl/media/image31.png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241</xdr:row>
      <xdr:rowOff>9525</xdr:rowOff>
    </xdr:from>
    <xdr:ext cx="571500" cy="571500"/>
    <xdr:pic>
      <xdr:nvPicPr>
        <xdr:cNvPr id="376" name="/xl/media/image32.png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241</xdr:row>
      <xdr:rowOff>9525</xdr:rowOff>
    </xdr:from>
    <xdr:ext cx="571500" cy="571500"/>
    <xdr:pic>
      <xdr:nvPicPr>
        <xdr:cNvPr id="377" name="/xl/media/image33.png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243</xdr:row>
      <xdr:rowOff>9525</xdr:rowOff>
    </xdr:from>
    <xdr:ext cx="571500" cy="571500"/>
    <xdr:pic>
      <xdr:nvPicPr>
        <xdr:cNvPr id="378" name="/xl/media/image34.png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243</xdr:row>
      <xdr:rowOff>9525</xdr:rowOff>
    </xdr:from>
    <xdr:ext cx="571500" cy="571500"/>
    <xdr:pic>
      <xdr:nvPicPr>
        <xdr:cNvPr id="379" name="/xl/media/image35.png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243</xdr:row>
      <xdr:rowOff>9525</xdr:rowOff>
    </xdr:from>
    <xdr:ext cx="571500" cy="571500"/>
    <xdr:pic>
      <xdr:nvPicPr>
        <xdr:cNvPr id="380" name="/xl/media/image36.png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241</xdr:row>
      <xdr:rowOff>9525</xdr:rowOff>
    </xdr:from>
    <xdr:ext cx="571500" cy="571500"/>
    <xdr:pic>
      <xdr:nvPicPr>
        <xdr:cNvPr id="381" name="/xl/media/image31.png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241</xdr:row>
      <xdr:rowOff>9525</xdr:rowOff>
    </xdr:from>
    <xdr:ext cx="571500" cy="571500"/>
    <xdr:pic>
      <xdr:nvPicPr>
        <xdr:cNvPr id="382" name="/xl/media/image32.png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241</xdr:row>
      <xdr:rowOff>9525</xdr:rowOff>
    </xdr:from>
    <xdr:ext cx="571500" cy="571500"/>
    <xdr:pic>
      <xdr:nvPicPr>
        <xdr:cNvPr id="383" name="/xl/media/image33.png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243</xdr:row>
      <xdr:rowOff>9525</xdr:rowOff>
    </xdr:from>
    <xdr:ext cx="571500" cy="571500"/>
    <xdr:pic>
      <xdr:nvPicPr>
        <xdr:cNvPr id="384" name="/xl/media/image34.png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243</xdr:row>
      <xdr:rowOff>9525</xdr:rowOff>
    </xdr:from>
    <xdr:ext cx="571500" cy="571500"/>
    <xdr:pic>
      <xdr:nvPicPr>
        <xdr:cNvPr id="385" name="/xl/media/image35.png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243</xdr:row>
      <xdr:rowOff>9525</xdr:rowOff>
    </xdr:from>
    <xdr:ext cx="571500" cy="571500"/>
    <xdr:pic>
      <xdr:nvPicPr>
        <xdr:cNvPr id="386" name="/xl/media/image36.png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246</xdr:row>
      <xdr:rowOff>428625</xdr:rowOff>
    </xdr:from>
    <xdr:ext cx="1438275" cy="1438275"/>
    <xdr:pic>
      <xdr:nvPicPr>
        <xdr:cNvPr id="387" name="/xl/media/image50.png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247</xdr:row>
      <xdr:rowOff>19050</xdr:rowOff>
    </xdr:from>
    <xdr:ext cx="647700" cy="647700"/>
    <xdr:pic>
      <xdr:nvPicPr>
        <xdr:cNvPr id="388" name="/xl/media/image102.png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248</xdr:row>
      <xdr:rowOff>9525</xdr:rowOff>
    </xdr:from>
    <xdr:ext cx="571500" cy="571500"/>
    <xdr:pic>
      <xdr:nvPicPr>
        <xdr:cNvPr id="389" name="/xl/media/image31.png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248</xdr:row>
      <xdr:rowOff>9525</xdr:rowOff>
    </xdr:from>
    <xdr:ext cx="571500" cy="571500"/>
    <xdr:pic>
      <xdr:nvPicPr>
        <xdr:cNvPr id="390" name="/xl/media/image32.png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248</xdr:row>
      <xdr:rowOff>9525</xdr:rowOff>
    </xdr:from>
    <xdr:ext cx="571500" cy="571500"/>
    <xdr:pic>
      <xdr:nvPicPr>
        <xdr:cNvPr id="391" name="/xl/media/image33.png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250</xdr:row>
      <xdr:rowOff>9525</xdr:rowOff>
    </xdr:from>
    <xdr:ext cx="571500" cy="571500"/>
    <xdr:pic>
      <xdr:nvPicPr>
        <xdr:cNvPr id="392" name="/xl/media/image34.png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250</xdr:row>
      <xdr:rowOff>9525</xdr:rowOff>
    </xdr:from>
    <xdr:ext cx="571500" cy="571500"/>
    <xdr:pic>
      <xdr:nvPicPr>
        <xdr:cNvPr id="393" name="/xl/media/image35.png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250</xdr:row>
      <xdr:rowOff>9525</xdr:rowOff>
    </xdr:from>
    <xdr:ext cx="571500" cy="571500"/>
    <xdr:pic>
      <xdr:nvPicPr>
        <xdr:cNvPr id="394" name="/xl/media/image36.png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247</xdr:row>
      <xdr:rowOff>19050</xdr:rowOff>
    </xdr:from>
    <xdr:ext cx="647700" cy="647700"/>
    <xdr:pic>
      <xdr:nvPicPr>
        <xdr:cNvPr id="395" name="/xl/media/image102.png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248</xdr:row>
      <xdr:rowOff>9525</xdr:rowOff>
    </xdr:from>
    <xdr:ext cx="571500" cy="571500"/>
    <xdr:pic>
      <xdr:nvPicPr>
        <xdr:cNvPr id="396" name="/xl/media/image86.png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248</xdr:row>
      <xdr:rowOff>9525</xdr:rowOff>
    </xdr:from>
    <xdr:ext cx="571500" cy="571500"/>
    <xdr:pic>
      <xdr:nvPicPr>
        <xdr:cNvPr id="397" name="/xl/media/image87.png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248</xdr:row>
      <xdr:rowOff>9525</xdr:rowOff>
    </xdr:from>
    <xdr:ext cx="571500" cy="571500"/>
    <xdr:pic>
      <xdr:nvPicPr>
        <xdr:cNvPr id="398" name="/xl/media/image83.png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250</xdr:row>
      <xdr:rowOff>9525</xdr:rowOff>
    </xdr:from>
    <xdr:ext cx="571500" cy="571500"/>
    <xdr:pic>
      <xdr:nvPicPr>
        <xdr:cNvPr id="399" name="/xl/media/image85.png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250</xdr:row>
      <xdr:rowOff>9525</xdr:rowOff>
    </xdr:from>
    <xdr:ext cx="571500" cy="571500"/>
    <xdr:pic>
      <xdr:nvPicPr>
        <xdr:cNvPr id="400" name="/xl/media/image84.png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250</xdr:row>
      <xdr:rowOff>9525</xdr:rowOff>
    </xdr:from>
    <xdr:ext cx="571500" cy="571500"/>
    <xdr:pic>
      <xdr:nvPicPr>
        <xdr:cNvPr id="401" name="/xl/media/image36.png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253</xdr:row>
      <xdr:rowOff>428625</xdr:rowOff>
    </xdr:from>
    <xdr:ext cx="1438275" cy="1438275"/>
    <xdr:pic>
      <xdr:nvPicPr>
        <xdr:cNvPr id="402" name="/xl/media/image52.png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254</xdr:row>
      <xdr:rowOff>19050</xdr:rowOff>
    </xdr:from>
    <xdr:ext cx="647700" cy="647700"/>
    <xdr:pic>
      <xdr:nvPicPr>
        <xdr:cNvPr id="403" name="/xl/media/image105.png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255</xdr:row>
      <xdr:rowOff>9525</xdr:rowOff>
    </xdr:from>
    <xdr:ext cx="571500" cy="571500"/>
    <xdr:pic>
      <xdr:nvPicPr>
        <xdr:cNvPr id="404" name="/xl/media/image35.png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255</xdr:row>
      <xdr:rowOff>9525</xdr:rowOff>
    </xdr:from>
    <xdr:ext cx="571500" cy="571500"/>
    <xdr:pic>
      <xdr:nvPicPr>
        <xdr:cNvPr id="405" name="/xl/media/image33.png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255</xdr:row>
      <xdr:rowOff>9525</xdr:rowOff>
    </xdr:from>
    <xdr:ext cx="571500" cy="571500"/>
    <xdr:pic>
      <xdr:nvPicPr>
        <xdr:cNvPr id="406" name="/xl/media/image34.png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257</xdr:row>
      <xdr:rowOff>9525</xdr:rowOff>
    </xdr:from>
    <xdr:ext cx="571500" cy="571500"/>
    <xdr:pic>
      <xdr:nvPicPr>
        <xdr:cNvPr id="407" name="/xl/media/image32.png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257</xdr:row>
      <xdr:rowOff>9525</xdr:rowOff>
    </xdr:from>
    <xdr:ext cx="571500" cy="571500"/>
    <xdr:pic>
      <xdr:nvPicPr>
        <xdr:cNvPr id="408" name="/xl/media/image36.png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254</xdr:row>
      <xdr:rowOff>19050</xdr:rowOff>
    </xdr:from>
    <xdr:ext cx="647700" cy="647700"/>
    <xdr:pic>
      <xdr:nvPicPr>
        <xdr:cNvPr id="409" name="/xl/media/image105.png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255</xdr:row>
      <xdr:rowOff>9525</xdr:rowOff>
    </xdr:from>
    <xdr:ext cx="571500" cy="571500"/>
    <xdr:pic>
      <xdr:nvPicPr>
        <xdr:cNvPr id="410" name="/xl/media/image86.png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255</xdr:row>
      <xdr:rowOff>9525</xdr:rowOff>
    </xdr:from>
    <xdr:ext cx="571500" cy="571500"/>
    <xdr:pic>
      <xdr:nvPicPr>
        <xdr:cNvPr id="411" name="/xl/media/image87.png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255</xdr:row>
      <xdr:rowOff>9525</xdr:rowOff>
    </xdr:from>
    <xdr:ext cx="571500" cy="571500"/>
    <xdr:pic>
      <xdr:nvPicPr>
        <xdr:cNvPr id="412" name="/xl/media/image85.png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257</xdr:row>
      <xdr:rowOff>9525</xdr:rowOff>
    </xdr:from>
    <xdr:ext cx="571500" cy="571500"/>
    <xdr:pic>
      <xdr:nvPicPr>
        <xdr:cNvPr id="413" name="/xl/media/image84.png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257</xdr:row>
      <xdr:rowOff>9525</xdr:rowOff>
    </xdr:from>
    <xdr:ext cx="571500" cy="571500"/>
    <xdr:pic>
      <xdr:nvPicPr>
        <xdr:cNvPr id="414" name="/xl/media/image36.png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260</xdr:row>
      <xdr:rowOff>428625</xdr:rowOff>
    </xdr:from>
    <xdr:ext cx="1438275" cy="1438275"/>
    <xdr:pic>
      <xdr:nvPicPr>
        <xdr:cNvPr id="415" name="/xl/media/image53.png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261</xdr:row>
      <xdr:rowOff>19050</xdr:rowOff>
    </xdr:from>
    <xdr:ext cx="647700" cy="647700"/>
    <xdr:pic>
      <xdr:nvPicPr>
        <xdr:cNvPr id="416" name="/xl/media/image105.png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262</xdr:row>
      <xdr:rowOff>9525</xdr:rowOff>
    </xdr:from>
    <xdr:ext cx="571500" cy="571500"/>
    <xdr:pic>
      <xdr:nvPicPr>
        <xdr:cNvPr id="417" name="/xl/media/image35.png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262</xdr:row>
      <xdr:rowOff>9525</xdr:rowOff>
    </xdr:from>
    <xdr:ext cx="571500" cy="571500"/>
    <xdr:pic>
      <xdr:nvPicPr>
        <xdr:cNvPr id="418" name="/xl/media/image33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262</xdr:row>
      <xdr:rowOff>9525</xdr:rowOff>
    </xdr:from>
    <xdr:ext cx="571500" cy="571500"/>
    <xdr:pic>
      <xdr:nvPicPr>
        <xdr:cNvPr id="419" name="/xl/media/image34.png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264</xdr:row>
      <xdr:rowOff>9525</xdr:rowOff>
    </xdr:from>
    <xdr:ext cx="571500" cy="571500"/>
    <xdr:pic>
      <xdr:nvPicPr>
        <xdr:cNvPr id="420" name="/xl/media/image32.png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264</xdr:row>
      <xdr:rowOff>9525</xdr:rowOff>
    </xdr:from>
    <xdr:ext cx="571500" cy="571500"/>
    <xdr:pic>
      <xdr:nvPicPr>
        <xdr:cNvPr id="421" name="/xl/media/image36.png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261</xdr:row>
      <xdr:rowOff>19050</xdr:rowOff>
    </xdr:from>
    <xdr:ext cx="647700" cy="647700"/>
    <xdr:pic>
      <xdr:nvPicPr>
        <xdr:cNvPr id="422" name="/xl/media/image105.png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262</xdr:row>
      <xdr:rowOff>9525</xdr:rowOff>
    </xdr:from>
    <xdr:ext cx="571500" cy="571500"/>
    <xdr:pic>
      <xdr:nvPicPr>
        <xdr:cNvPr id="423" name="/xl/media/image86.png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262</xdr:row>
      <xdr:rowOff>9525</xdr:rowOff>
    </xdr:from>
    <xdr:ext cx="571500" cy="571500"/>
    <xdr:pic>
      <xdr:nvPicPr>
        <xdr:cNvPr id="424" name="/xl/media/image87.png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262</xdr:row>
      <xdr:rowOff>9525</xdr:rowOff>
    </xdr:from>
    <xdr:ext cx="571500" cy="571500"/>
    <xdr:pic>
      <xdr:nvPicPr>
        <xdr:cNvPr id="425" name="/xl/media/image85.png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264</xdr:row>
      <xdr:rowOff>9525</xdr:rowOff>
    </xdr:from>
    <xdr:ext cx="571500" cy="571500"/>
    <xdr:pic>
      <xdr:nvPicPr>
        <xdr:cNvPr id="426" name="/xl/media/image84.png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264</xdr:row>
      <xdr:rowOff>9525</xdr:rowOff>
    </xdr:from>
    <xdr:ext cx="571500" cy="571500"/>
    <xdr:pic>
      <xdr:nvPicPr>
        <xdr:cNvPr id="427" name="/xl/media/image36.png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267</xdr:row>
      <xdr:rowOff>428625</xdr:rowOff>
    </xdr:from>
    <xdr:ext cx="1438275" cy="1438275"/>
    <xdr:pic>
      <xdr:nvPicPr>
        <xdr:cNvPr id="428" name="/xl/media/image57.png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268</xdr:row>
      <xdr:rowOff>19050</xdr:rowOff>
    </xdr:from>
    <xdr:ext cx="647700" cy="647700"/>
    <xdr:pic>
      <xdr:nvPicPr>
        <xdr:cNvPr id="429" name="/xl/media/image106.png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269</xdr:row>
      <xdr:rowOff>9525</xdr:rowOff>
    </xdr:from>
    <xdr:ext cx="571500" cy="571500"/>
    <xdr:pic>
      <xdr:nvPicPr>
        <xdr:cNvPr id="430" name="/xl/media/image35.png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269</xdr:row>
      <xdr:rowOff>9525</xdr:rowOff>
    </xdr:from>
    <xdr:ext cx="571500" cy="571500"/>
    <xdr:pic>
      <xdr:nvPicPr>
        <xdr:cNvPr id="431" name="/xl/media/image33.png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269</xdr:row>
      <xdr:rowOff>9525</xdr:rowOff>
    </xdr:from>
    <xdr:ext cx="571500" cy="571500"/>
    <xdr:pic>
      <xdr:nvPicPr>
        <xdr:cNvPr id="432" name="/xl/media/image34.png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271</xdr:row>
      <xdr:rowOff>9525</xdr:rowOff>
    </xdr:from>
    <xdr:ext cx="571500" cy="571500"/>
    <xdr:pic>
      <xdr:nvPicPr>
        <xdr:cNvPr id="433" name="/xl/media/image32.png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271</xdr:row>
      <xdr:rowOff>9525</xdr:rowOff>
    </xdr:from>
    <xdr:ext cx="571500" cy="571500"/>
    <xdr:pic>
      <xdr:nvPicPr>
        <xdr:cNvPr id="434" name="/xl/media/image36.png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268</xdr:row>
      <xdr:rowOff>19050</xdr:rowOff>
    </xdr:from>
    <xdr:ext cx="647700" cy="647700"/>
    <xdr:pic>
      <xdr:nvPicPr>
        <xdr:cNvPr id="435" name="/xl/media/image106.png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269</xdr:row>
      <xdr:rowOff>9525</xdr:rowOff>
    </xdr:from>
    <xdr:ext cx="571500" cy="571500"/>
    <xdr:pic>
      <xdr:nvPicPr>
        <xdr:cNvPr id="436" name="/xl/media/image86.png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269</xdr:row>
      <xdr:rowOff>9525</xdr:rowOff>
    </xdr:from>
    <xdr:ext cx="571500" cy="571500"/>
    <xdr:pic>
      <xdr:nvPicPr>
        <xdr:cNvPr id="437" name="/xl/media/image87.png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269</xdr:row>
      <xdr:rowOff>9525</xdr:rowOff>
    </xdr:from>
    <xdr:ext cx="571500" cy="571500"/>
    <xdr:pic>
      <xdr:nvPicPr>
        <xdr:cNvPr id="438" name="/xl/media/image85.png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271</xdr:row>
      <xdr:rowOff>9525</xdr:rowOff>
    </xdr:from>
    <xdr:ext cx="571500" cy="571500"/>
    <xdr:pic>
      <xdr:nvPicPr>
        <xdr:cNvPr id="439" name="/xl/media/image84.png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271</xdr:row>
      <xdr:rowOff>9525</xdr:rowOff>
    </xdr:from>
    <xdr:ext cx="571500" cy="571500"/>
    <xdr:pic>
      <xdr:nvPicPr>
        <xdr:cNvPr id="440" name="/xl/media/image36.png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274</xdr:row>
      <xdr:rowOff>428625</xdr:rowOff>
    </xdr:from>
    <xdr:ext cx="1438275" cy="1438275"/>
    <xdr:pic>
      <xdr:nvPicPr>
        <xdr:cNvPr id="441" name="/xl/media/image55.png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275</xdr:row>
      <xdr:rowOff>19050</xdr:rowOff>
    </xdr:from>
    <xdr:ext cx="647700" cy="647700"/>
    <xdr:pic>
      <xdr:nvPicPr>
        <xdr:cNvPr id="442" name="/xl/media/image55.png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276</xdr:row>
      <xdr:rowOff>9525</xdr:rowOff>
    </xdr:from>
    <xdr:ext cx="571500" cy="571500"/>
    <xdr:pic>
      <xdr:nvPicPr>
        <xdr:cNvPr id="443" name="/xl/media/image35.png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276</xdr:row>
      <xdr:rowOff>9525</xdr:rowOff>
    </xdr:from>
    <xdr:ext cx="571500" cy="571500"/>
    <xdr:pic>
      <xdr:nvPicPr>
        <xdr:cNvPr id="444" name="/xl/media/image33.png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276</xdr:row>
      <xdr:rowOff>9525</xdr:rowOff>
    </xdr:from>
    <xdr:ext cx="571500" cy="571500"/>
    <xdr:pic>
      <xdr:nvPicPr>
        <xdr:cNvPr id="445" name="/xl/media/image34.png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278</xdr:row>
      <xdr:rowOff>9525</xdr:rowOff>
    </xdr:from>
    <xdr:ext cx="571500" cy="571500"/>
    <xdr:pic>
      <xdr:nvPicPr>
        <xdr:cNvPr id="446" name="/xl/media/image32.png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278</xdr:row>
      <xdr:rowOff>9525</xdr:rowOff>
    </xdr:from>
    <xdr:ext cx="571500" cy="571500"/>
    <xdr:pic>
      <xdr:nvPicPr>
        <xdr:cNvPr id="447" name="/xl/media/image36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275</xdr:row>
      <xdr:rowOff>19050</xdr:rowOff>
    </xdr:from>
    <xdr:ext cx="647700" cy="647700"/>
    <xdr:pic>
      <xdr:nvPicPr>
        <xdr:cNvPr id="448" name="/xl/media/image55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276</xdr:row>
      <xdr:rowOff>9525</xdr:rowOff>
    </xdr:from>
    <xdr:ext cx="571500" cy="571500"/>
    <xdr:pic>
      <xdr:nvPicPr>
        <xdr:cNvPr id="449" name="/xl/media/image86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276</xdr:row>
      <xdr:rowOff>9525</xdr:rowOff>
    </xdr:from>
    <xdr:ext cx="571500" cy="571500"/>
    <xdr:pic>
      <xdr:nvPicPr>
        <xdr:cNvPr id="450" name="/xl/media/image87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276</xdr:row>
      <xdr:rowOff>9525</xdr:rowOff>
    </xdr:from>
    <xdr:ext cx="571500" cy="571500"/>
    <xdr:pic>
      <xdr:nvPicPr>
        <xdr:cNvPr id="451" name="/xl/media/image85.png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278</xdr:row>
      <xdr:rowOff>9525</xdr:rowOff>
    </xdr:from>
    <xdr:ext cx="571500" cy="571500"/>
    <xdr:pic>
      <xdr:nvPicPr>
        <xdr:cNvPr id="452" name="/xl/media/image84.png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278</xdr:row>
      <xdr:rowOff>9525</xdr:rowOff>
    </xdr:from>
    <xdr:ext cx="571500" cy="571500"/>
    <xdr:pic>
      <xdr:nvPicPr>
        <xdr:cNvPr id="453" name="/xl/media/image36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281</xdr:row>
      <xdr:rowOff>428625</xdr:rowOff>
    </xdr:from>
    <xdr:ext cx="1438275" cy="1438275"/>
    <xdr:pic>
      <xdr:nvPicPr>
        <xdr:cNvPr id="454" name="/xl/media/image58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282</xdr:row>
      <xdr:rowOff>19050</xdr:rowOff>
    </xdr:from>
    <xdr:ext cx="647700" cy="647700"/>
    <xdr:pic>
      <xdr:nvPicPr>
        <xdr:cNvPr id="455" name="/xl/media/image107.png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283</xdr:row>
      <xdr:rowOff>9525</xdr:rowOff>
    </xdr:from>
    <xdr:ext cx="571500" cy="571500"/>
    <xdr:pic>
      <xdr:nvPicPr>
        <xdr:cNvPr id="456" name="/xl/media/image31.png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283</xdr:row>
      <xdr:rowOff>9525</xdr:rowOff>
    </xdr:from>
    <xdr:ext cx="571500" cy="571500"/>
    <xdr:pic>
      <xdr:nvPicPr>
        <xdr:cNvPr id="457" name="/xl/media/image32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283</xdr:row>
      <xdr:rowOff>9525</xdr:rowOff>
    </xdr:from>
    <xdr:ext cx="571500" cy="571500"/>
    <xdr:pic>
      <xdr:nvPicPr>
        <xdr:cNvPr id="458" name="/xl/media/image33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285</xdr:row>
      <xdr:rowOff>9525</xdr:rowOff>
    </xdr:from>
    <xdr:ext cx="571500" cy="571500"/>
    <xdr:pic>
      <xdr:nvPicPr>
        <xdr:cNvPr id="459" name="/xl/media/image34.png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285</xdr:row>
      <xdr:rowOff>9525</xdr:rowOff>
    </xdr:from>
    <xdr:ext cx="571500" cy="571500"/>
    <xdr:pic>
      <xdr:nvPicPr>
        <xdr:cNvPr id="460" name="/xl/media/image35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285</xdr:row>
      <xdr:rowOff>9525</xdr:rowOff>
    </xdr:from>
    <xdr:ext cx="571500" cy="571500"/>
    <xdr:pic>
      <xdr:nvPicPr>
        <xdr:cNvPr id="461" name="/xl/media/image36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282</xdr:row>
      <xdr:rowOff>19050</xdr:rowOff>
    </xdr:from>
    <xdr:ext cx="647700" cy="647700"/>
    <xdr:pic>
      <xdr:nvPicPr>
        <xdr:cNvPr id="462" name="/xl/media/image108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283</xdr:row>
      <xdr:rowOff>9525</xdr:rowOff>
    </xdr:from>
    <xdr:ext cx="571500" cy="571500"/>
    <xdr:pic>
      <xdr:nvPicPr>
        <xdr:cNvPr id="463" name="/xl/media/image31.png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283</xdr:row>
      <xdr:rowOff>9525</xdr:rowOff>
    </xdr:from>
    <xdr:ext cx="571500" cy="571500"/>
    <xdr:pic>
      <xdr:nvPicPr>
        <xdr:cNvPr id="464" name="/xl/media/image32.png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283</xdr:row>
      <xdr:rowOff>9525</xdr:rowOff>
    </xdr:from>
    <xdr:ext cx="571500" cy="571500"/>
    <xdr:pic>
      <xdr:nvPicPr>
        <xdr:cNvPr id="465" name="/xl/media/image33.png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285</xdr:row>
      <xdr:rowOff>9525</xdr:rowOff>
    </xdr:from>
    <xdr:ext cx="571500" cy="571500"/>
    <xdr:pic>
      <xdr:nvPicPr>
        <xdr:cNvPr id="466" name="/xl/media/image34.png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285</xdr:row>
      <xdr:rowOff>9525</xdr:rowOff>
    </xdr:from>
    <xdr:ext cx="571500" cy="571500"/>
    <xdr:pic>
      <xdr:nvPicPr>
        <xdr:cNvPr id="467" name="/xl/media/image35.png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285</xdr:row>
      <xdr:rowOff>9525</xdr:rowOff>
    </xdr:from>
    <xdr:ext cx="571500" cy="571500"/>
    <xdr:pic>
      <xdr:nvPicPr>
        <xdr:cNvPr id="468" name="/xl/media/image36.png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0</xdr:colOff>
      <xdr:row>282</xdr:row>
      <xdr:rowOff>19050</xdr:rowOff>
    </xdr:from>
    <xdr:ext cx="647700" cy="647700"/>
    <xdr:pic>
      <xdr:nvPicPr>
        <xdr:cNvPr id="469" name="/xl/media/image107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283</xdr:row>
      <xdr:rowOff>9525</xdr:rowOff>
    </xdr:from>
    <xdr:ext cx="571500" cy="571500"/>
    <xdr:pic>
      <xdr:nvPicPr>
        <xdr:cNvPr id="470" name="/xl/media/image83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283</xdr:row>
      <xdr:rowOff>9525</xdr:rowOff>
    </xdr:from>
    <xdr:ext cx="571500" cy="571500"/>
    <xdr:pic>
      <xdr:nvPicPr>
        <xdr:cNvPr id="471" name="/xl/media/image84.png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283</xdr:row>
      <xdr:rowOff>9525</xdr:rowOff>
    </xdr:from>
    <xdr:ext cx="571500" cy="571500"/>
    <xdr:pic>
      <xdr:nvPicPr>
        <xdr:cNvPr id="472" name="/xl/media/image85.png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285</xdr:row>
      <xdr:rowOff>9525</xdr:rowOff>
    </xdr:from>
    <xdr:ext cx="571500" cy="571500"/>
    <xdr:pic>
      <xdr:nvPicPr>
        <xdr:cNvPr id="473" name="/xl/media/image86.png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285</xdr:row>
      <xdr:rowOff>9525</xdr:rowOff>
    </xdr:from>
    <xdr:ext cx="571500" cy="571500"/>
    <xdr:pic>
      <xdr:nvPicPr>
        <xdr:cNvPr id="474" name="/xl/media/image87.png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285</xdr:row>
      <xdr:rowOff>9525</xdr:rowOff>
    </xdr:from>
    <xdr:ext cx="571500" cy="571500"/>
    <xdr:pic>
      <xdr:nvPicPr>
        <xdr:cNvPr id="475" name="/xl/media/image36.png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0</xdr:colOff>
      <xdr:row>282</xdr:row>
      <xdr:rowOff>19050</xdr:rowOff>
    </xdr:from>
    <xdr:ext cx="647700" cy="647700"/>
    <xdr:pic>
      <xdr:nvPicPr>
        <xdr:cNvPr id="476" name="/xl/media/image108.png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283</xdr:row>
      <xdr:rowOff>9525</xdr:rowOff>
    </xdr:from>
    <xdr:ext cx="571500" cy="571500"/>
    <xdr:pic>
      <xdr:nvPicPr>
        <xdr:cNvPr id="477" name="/xl/media/image83.png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283</xdr:row>
      <xdr:rowOff>9525</xdr:rowOff>
    </xdr:from>
    <xdr:ext cx="571500" cy="571500"/>
    <xdr:pic>
      <xdr:nvPicPr>
        <xdr:cNvPr id="478" name="/xl/media/image84.png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283</xdr:row>
      <xdr:rowOff>9525</xdr:rowOff>
    </xdr:from>
    <xdr:ext cx="571500" cy="571500"/>
    <xdr:pic>
      <xdr:nvPicPr>
        <xdr:cNvPr id="479" name="/xl/media/image85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285</xdr:row>
      <xdr:rowOff>9525</xdr:rowOff>
    </xdr:from>
    <xdr:ext cx="571500" cy="571500"/>
    <xdr:pic>
      <xdr:nvPicPr>
        <xdr:cNvPr id="480" name="/xl/media/image86.png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285</xdr:row>
      <xdr:rowOff>9525</xdr:rowOff>
    </xdr:from>
    <xdr:ext cx="571500" cy="571500"/>
    <xdr:pic>
      <xdr:nvPicPr>
        <xdr:cNvPr id="481" name="/xl/media/image87.png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285</xdr:row>
      <xdr:rowOff>9525</xdr:rowOff>
    </xdr:from>
    <xdr:ext cx="571500" cy="571500"/>
    <xdr:pic>
      <xdr:nvPicPr>
        <xdr:cNvPr id="482" name="/xl/media/image36.png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288</xdr:row>
      <xdr:rowOff>428625</xdr:rowOff>
    </xdr:from>
    <xdr:ext cx="1438275" cy="1438275"/>
    <xdr:pic>
      <xdr:nvPicPr>
        <xdr:cNvPr id="483" name="/xl/media/image63.png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289</xdr:row>
      <xdr:rowOff>19050</xdr:rowOff>
    </xdr:from>
    <xdr:ext cx="647700" cy="647700"/>
    <xdr:pic>
      <xdr:nvPicPr>
        <xdr:cNvPr id="484" name="/xl/media/image109.png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290</xdr:row>
      <xdr:rowOff>9525</xdr:rowOff>
    </xdr:from>
    <xdr:ext cx="571500" cy="571500"/>
    <xdr:pic>
      <xdr:nvPicPr>
        <xdr:cNvPr id="485" name="/xl/media/image35.png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290</xdr:row>
      <xdr:rowOff>9525</xdr:rowOff>
    </xdr:from>
    <xdr:ext cx="571500" cy="571500"/>
    <xdr:pic>
      <xdr:nvPicPr>
        <xdr:cNvPr id="486" name="/xl/media/image33.png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290</xdr:row>
      <xdr:rowOff>9525</xdr:rowOff>
    </xdr:from>
    <xdr:ext cx="571500" cy="571500"/>
    <xdr:pic>
      <xdr:nvPicPr>
        <xdr:cNvPr id="487" name="/xl/media/image31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292</xdr:row>
      <xdr:rowOff>9525</xdr:rowOff>
    </xdr:from>
    <xdr:ext cx="571500" cy="571500"/>
    <xdr:pic>
      <xdr:nvPicPr>
        <xdr:cNvPr id="488" name="/xl/media/image34.png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292</xdr:row>
      <xdr:rowOff>9525</xdr:rowOff>
    </xdr:from>
    <xdr:ext cx="571500" cy="571500"/>
    <xdr:pic>
      <xdr:nvPicPr>
        <xdr:cNvPr id="489" name="/xl/media/image32.png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292</xdr:row>
      <xdr:rowOff>9525</xdr:rowOff>
    </xdr:from>
    <xdr:ext cx="571500" cy="571500"/>
    <xdr:pic>
      <xdr:nvPicPr>
        <xdr:cNvPr id="490" name="/xl/media/image36.png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289</xdr:row>
      <xdr:rowOff>19050</xdr:rowOff>
    </xdr:from>
    <xdr:ext cx="647700" cy="647700"/>
    <xdr:pic>
      <xdr:nvPicPr>
        <xdr:cNvPr id="491" name="/xl/media/image109.png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290</xdr:row>
      <xdr:rowOff>9525</xdr:rowOff>
    </xdr:from>
    <xdr:ext cx="571500" cy="571500"/>
    <xdr:pic>
      <xdr:nvPicPr>
        <xdr:cNvPr id="492" name="/xl/media/image86.png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290</xdr:row>
      <xdr:rowOff>9525</xdr:rowOff>
    </xdr:from>
    <xdr:ext cx="571500" cy="571500"/>
    <xdr:pic>
      <xdr:nvPicPr>
        <xdr:cNvPr id="493" name="/xl/media/image87.png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290</xdr:row>
      <xdr:rowOff>9525</xdr:rowOff>
    </xdr:from>
    <xdr:ext cx="571500" cy="571500"/>
    <xdr:pic>
      <xdr:nvPicPr>
        <xdr:cNvPr id="494" name="/xl/media/image83.png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292</xdr:row>
      <xdr:rowOff>9525</xdr:rowOff>
    </xdr:from>
    <xdr:ext cx="571500" cy="571500"/>
    <xdr:pic>
      <xdr:nvPicPr>
        <xdr:cNvPr id="495" name="/xl/media/image85.png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292</xdr:row>
      <xdr:rowOff>9525</xdr:rowOff>
    </xdr:from>
    <xdr:ext cx="571500" cy="571500"/>
    <xdr:pic>
      <xdr:nvPicPr>
        <xdr:cNvPr id="496" name="/xl/media/image84.png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292</xdr:row>
      <xdr:rowOff>9525</xdr:rowOff>
    </xdr:from>
    <xdr:ext cx="571500" cy="571500"/>
    <xdr:pic>
      <xdr:nvPicPr>
        <xdr:cNvPr id="497" name="/xl/media/image36.png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295</xdr:row>
      <xdr:rowOff>428625</xdr:rowOff>
    </xdr:from>
    <xdr:ext cx="1438275" cy="1438275"/>
    <xdr:pic>
      <xdr:nvPicPr>
        <xdr:cNvPr id="498" name="/xl/media/image62.png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296</xdr:row>
      <xdr:rowOff>19050</xdr:rowOff>
    </xdr:from>
    <xdr:ext cx="647700" cy="647700"/>
    <xdr:pic>
      <xdr:nvPicPr>
        <xdr:cNvPr id="499" name="/xl/media/image110.png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297</xdr:row>
      <xdr:rowOff>9525</xdr:rowOff>
    </xdr:from>
    <xdr:ext cx="571500" cy="571500"/>
    <xdr:pic>
      <xdr:nvPicPr>
        <xdr:cNvPr id="500" name="/xl/media/image35.png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297</xdr:row>
      <xdr:rowOff>9525</xdr:rowOff>
    </xdr:from>
    <xdr:ext cx="571500" cy="571500"/>
    <xdr:pic>
      <xdr:nvPicPr>
        <xdr:cNvPr id="501" name="/xl/media/image33.png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297</xdr:row>
      <xdr:rowOff>9525</xdr:rowOff>
    </xdr:from>
    <xdr:ext cx="571500" cy="571500"/>
    <xdr:pic>
      <xdr:nvPicPr>
        <xdr:cNvPr id="502" name="/xl/media/image31.png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299</xdr:row>
      <xdr:rowOff>9525</xdr:rowOff>
    </xdr:from>
    <xdr:ext cx="571500" cy="571500"/>
    <xdr:pic>
      <xdr:nvPicPr>
        <xdr:cNvPr id="503" name="/xl/media/image34.png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299</xdr:row>
      <xdr:rowOff>9525</xdr:rowOff>
    </xdr:from>
    <xdr:ext cx="571500" cy="571500"/>
    <xdr:pic>
      <xdr:nvPicPr>
        <xdr:cNvPr id="504" name="/xl/media/image32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299</xdr:row>
      <xdr:rowOff>9525</xdr:rowOff>
    </xdr:from>
    <xdr:ext cx="571500" cy="571500"/>
    <xdr:pic>
      <xdr:nvPicPr>
        <xdr:cNvPr id="505" name="/xl/media/image36.png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296</xdr:row>
      <xdr:rowOff>19050</xdr:rowOff>
    </xdr:from>
    <xdr:ext cx="647700" cy="647700"/>
    <xdr:pic>
      <xdr:nvPicPr>
        <xdr:cNvPr id="506" name="/xl/media/image110.png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297</xdr:row>
      <xdr:rowOff>9525</xdr:rowOff>
    </xdr:from>
    <xdr:ext cx="571500" cy="571500"/>
    <xdr:pic>
      <xdr:nvPicPr>
        <xdr:cNvPr id="507" name="/xl/media/image86.png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297</xdr:row>
      <xdr:rowOff>9525</xdr:rowOff>
    </xdr:from>
    <xdr:ext cx="571500" cy="571500"/>
    <xdr:pic>
      <xdr:nvPicPr>
        <xdr:cNvPr id="508" name="/xl/media/image87.png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297</xdr:row>
      <xdr:rowOff>9525</xdr:rowOff>
    </xdr:from>
    <xdr:ext cx="571500" cy="571500"/>
    <xdr:pic>
      <xdr:nvPicPr>
        <xdr:cNvPr id="509" name="/xl/media/image83.png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299</xdr:row>
      <xdr:rowOff>9525</xdr:rowOff>
    </xdr:from>
    <xdr:ext cx="571500" cy="571500"/>
    <xdr:pic>
      <xdr:nvPicPr>
        <xdr:cNvPr id="510" name="/xl/media/image85.png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299</xdr:row>
      <xdr:rowOff>9525</xdr:rowOff>
    </xdr:from>
    <xdr:ext cx="571500" cy="571500"/>
    <xdr:pic>
      <xdr:nvPicPr>
        <xdr:cNvPr id="511" name="/xl/media/image84.png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299</xdr:row>
      <xdr:rowOff>9525</xdr:rowOff>
    </xdr:from>
    <xdr:ext cx="571500" cy="571500"/>
    <xdr:pic>
      <xdr:nvPicPr>
        <xdr:cNvPr id="512" name="/xl/media/image36.png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302</xdr:row>
      <xdr:rowOff>428625</xdr:rowOff>
    </xdr:from>
    <xdr:ext cx="1438275" cy="1438275"/>
    <xdr:pic>
      <xdr:nvPicPr>
        <xdr:cNvPr id="513" name="/xl/media/image60.png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303</xdr:row>
      <xdr:rowOff>19050</xdr:rowOff>
    </xdr:from>
    <xdr:ext cx="647700" cy="647700"/>
    <xdr:pic>
      <xdr:nvPicPr>
        <xdr:cNvPr id="514" name="/xl/media/image109.png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304</xdr:row>
      <xdr:rowOff>9525</xdr:rowOff>
    </xdr:from>
    <xdr:ext cx="571500" cy="571500"/>
    <xdr:pic>
      <xdr:nvPicPr>
        <xdr:cNvPr id="515" name="/xl/media/image35.png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304</xdr:row>
      <xdr:rowOff>9525</xdr:rowOff>
    </xdr:from>
    <xdr:ext cx="571500" cy="571500"/>
    <xdr:pic>
      <xdr:nvPicPr>
        <xdr:cNvPr id="516" name="/xl/media/image33.png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304</xdr:row>
      <xdr:rowOff>9525</xdr:rowOff>
    </xdr:from>
    <xdr:ext cx="571500" cy="571500"/>
    <xdr:pic>
      <xdr:nvPicPr>
        <xdr:cNvPr id="517" name="/xl/media/image31.png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306</xdr:row>
      <xdr:rowOff>9525</xdr:rowOff>
    </xdr:from>
    <xdr:ext cx="571500" cy="571500"/>
    <xdr:pic>
      <xdr:nvPicPr>
        <xdr:cNvPr id="518" name="/xl/media/image34.png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306</xdr:row>
      <xdr:rowOff>9525</xdr:rowOff>
    </xdr:from>
    <xdr:ext cx="571500" cy="571500"/>
    <xdr:pic>
      <xdr:nvPicPr>
        <xdr:cNvPr id="519" name="/xl/media/image32.png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306</xdr:row>
      <xdr:rowOff>9525</xdr:rowOff>
    </xdr:from>
    <xdr:ext cx="571500" cy="571500"/>
    <xdr:pic>
      <xdr:nvPicPr>
        <xdr:cNvPr id="520" name="/xl/media/image36.png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303</xdr:row>
      <xdr:rowOff>19050</xdr:rowOff>
    </xdr:from>
    <xdr:ext cx="647700" cy="647700"/>
    <xdr:pic>
      <xdr:nvPicPr>
        <xdr:cNvPr id="521" name="/xl/media/image109.png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304</xdr:row>
      <xdr:rowOff>9525</xdr:rowOff>
    </xdr:from>
    <xdr:ext cx="571500" cy="571500"/>
    <xdr:pic>
      <xdr:nvPicPr>
        <xdr:cNvPr id="522" name="/xl/media/image86.png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304</xdr:row>
      <xdr:rowOff>9525</xdr:rowOff>
    </xdr:from>
    <xdr:ext cx="571500" cy="571500"/>
    <xdr:pic>
      <xdr:nvPicPr>
        <xdr:cNvPr id="523" name="/xl/media/image87.png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304</xdr:row>
      <xdr:rowOff>9525</xdr:rowOff>
    </xdr:from>
    <xdr:ext cx="571500" cy="571500"/>
    <xdr:pic>
      <xdr:nvPicPr>
        <xdr:cNvPr id="524" name="/xl/media/image83.png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306</xdr:row>
      <xdr:rowOff>9525</xdr:rowOff>
    </xdr:from>
    <xdr:ext cx="571500" cy="571500"/>
    <xdr:pic>
      <xdr:nvPicPr>
        <xdr:cNvPr id="525" name="/xl/media/image85.png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306</xdr:row>
      <xdr:rowOff>9525</xdr:rowOff>
    </xdr:from>
    <xdr:ext cx="571500" cy="571500"/>
    <xdr:pic>
      <xdr:nvPicPr>
        <xdr:cNvPr id="526" name="/xl/media/image84.png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306</xdr:row>
      <xdr:rowOff>9525</xdr:rowOff>
    </xdr:from>
    <xdr:ext cx="571500" cy="571500"/>
    <xdr:pic>
      <xdr:nvPicPr>
        <xdr:cNvPr id="527" name="/xl/media/image36.png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309</xdr:row>
      <xdr:rowOff>428625</xdr:rowOff>
    </xdr:from>
    <xdr:ext cx="1438275" cy="1438275"/>
    <xdr:pic>
      <xdr:nvPicPr>
        <xdr:cNvPr id="528" name="/xl/media/image65.png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310</xdr:row>
      <xdr:rowOff>19050</xdr:rowOff>
    </xdr:from>
    <xdr:ext cx="647700" cy="647700"/>
    <xdr:pic>
      <xdr:nvPicPr>
        <xdr:cNvPr id="529" name="/xl/media/image111.png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311</xdr:row>
      <xdr:rowOff>9525</xdr:rowOff>
    </xdr:from>
    <xdr:ext cx="571500" cy="571500"/>
    <xdr:pic>
      <xdr:nvPicPr>
        <xdr:cNvPr id="530" name="/xl/media/image35.png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311</xdr:row>
      <xdr:rowOff>9525</xdr:rowOff>
    </xdr:from>
    <xdr:ext cx="571500" cy="571500"/>
    <xdr:pic>
      <xdr:nvPicPr>
        <xdr:cNvPr id="531" name="/xl/media/image33.png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311</xdr:row>
      <xdr:rowOff>9525</xdr:rowOff>
    </xdr:from>
    <xdr:ext cx="571500" cy="571500"/>
    <xdr:pic>
      <xdr:nvPicPr>
        <xdr:cNvPr id="532" name="/xl/media/image31.png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313</xdr:row>
      <xdr:rowOff>9525</xdr:rowOff>
    </xdr:from>
    <xdr:ext cx="571500" cy="571500"/>
    <xdr:pic>
      <xdr:nvPicPr>
        <xdr:cNvPr id="533" name="/xl/media/image34.png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313</xdr:row>
      <xdr:rowOff>9525</xdr:rowOff>
    </xdr:from>
    <xdr:ext cx="571500" cy="571500"/>
    <xdr:pic>
      <xdr:nvPicPr>
        <xdr:cNvPr id="534" name="/xl/media/image32.png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313</xdr:row>
      <xdr:rowOff>9525</xdr:rowOff>
    </xdr:from>
    <xdr:ext cx="571500" cy="571500"/>
    <xdr:pic>
      <xdr:nvPicPr>
        <xdr:cNvPr id="535" name="/xl/media/image36.png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310</xdr:row>
      <xdr:rowOff>19050</xdr:rowOff>
    </xdr:from>
    <xdr:ext cx="647700" cy="647700"/>
    <xdr:pic>
      <xdr:nvPicPr>
        <xdr:cNvPr id="536" name="/xl/media/image111.png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311</xdr:row>
      <xdr:rowOff>9525</xdr:rowOff>
    </xdr:from>
    <xdr:ext cx="571500" cy="571500"/>
    <xdr:pic>
      <xdr:nvPicPr>
        <xdr:cNvPr id="537" name="/xl/media/image86.png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311</xdr:row>
      <xdr:rowOff>9525</xdr:rowOff>
    </xdr:from>
    <xdr:ext cx="571500" cy="571500"/>
    <xdr:pic>
      <xdr:nvPicPr>
        <xdr:cNvPr id="538" name="/xl/media/image87.png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311</xdr:row>
      <xdr:rowOff>9525</xdr:rowOff>
    </xdr:from>
    <xdr:ext cx="571500" cy="571500"/>
    <xdr:pic>
      <xdr:nvPicPr>
        <xdr:cNvPr id="539" name="/xl/media/image83.png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313</xdr:row>
      <xdr:rowOff>9525</xdr:rowOff>
    </xdr:from>
    <xdr:ext cx="571500" cy="571500"/>
    <xdr:pic>
      <xdr:nvPicPr>
        <xdr:cNvPr id="540" name="/xl/media/image85.png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313</xdr:row>
      <xdr:rowOff>9525</xdr:rowOff>
    </xdr:from>
    <xdr:ext cx="571500" cy="571500"/>
    <xdr:pic>
      <xdr:nvPicPr>
        <xdr:cNvPr id="541" name="/xl/media/image84.png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313</xdr:row>
      <xdr:rowOff>9525</xdr:rowOff>
    </xdr:from>
    <xdr:ext cx="571500" cy="571500"/>
    <xdr:pic>
      <xdr:nvPicPr>
        <xdr:cNvPr id="542" name="/xl/media/image36.png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316</xdr:row>
      <xdr:rowOff>428625</xdr:rowOff>
    </xdr:from>
    <xdr:ext cx="1438275" cy="1438275"/>
    <xdr:pic>
      <xdr:nvPicPr>
        <xdr:cNvPr id="543" name="/xl/media/image67.png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317</xdr:row>
      <xdr:rowOff>19050</xdr:rowOff>
    </xdr:from>
    <xdr:ext cx="647700" cy="647700"/>
    <xdr:pic>
      <xdr:nvPicPr>
        <xdr:cNvPr id="544" name="/xl/media/image112.png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318</xdr:row>
      <xdr:rowOff>9525</xdr:rowOff>
    </xdr:from>
    <xdr:ext cx="571500" cy="571500"/>
    <xdr:pic>
      <xdr:nvPicPr>
        <xdr:cNvPr id="545" name="/xl/media/image35.png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318</xdr:row>
      <xdr:rowOff>9525</xdr:rowOff>
    </xdr:from>
    <xdr:ext cx="571500" cy="571500"/>
    <xdr:pic>
      <xdr:nvPicPr>
        <xdr:cNvPr id="546" name="/xl/media/image33.png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318</xdr:row>
      <xdr:rowOff>9525</xdr:rowOff>
    </xdr:from>
    <xdr:ext cx="571500" cy="571500"/>
    <xdr:pic>
      <xdr:nvPicPr>
        <xdr:cNvPr id="547" name="/xl/media/image31.png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320</xdr:row>
      <xdr:rowOff>9525</xdr:rowOff>
    </xdr:from>
    <xdr:ext cx="571500" cy="571500"/>
    <xdr:pic>
      <xdr:nvPicPr>
        <xdr:cNvPr id="548" name="/xl/media/image34.png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320</xdr:row>
      <xdr:rowOff>9525</xdr:rowOff>
    </xdr:from>
    <xdr:ext cx="571500" cy="571500"/>
    <xdr:pic>
      <xdr:nvPicPr>
        <xdr:cNvPr id="549" name="/xl/media/image32.png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320</xdr:row>
      <xdr:rowOff>9525</xdr:rowOff>
    </xdr:from>
    <xdr:ext cx="571500" cy="571500"/>
    <xdr:pic>
      <xdr:nvPicPr>
        <xdr:cNvPr id="550" name="/xl/media/image36.png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317</xdr:row>
      <xdr:rowOff>19050</xdr:rowOff>
    </xdr:from>
    <xdr:ext cx="647700" cy="647700"/>
    <xdr:pic>
      <xdr:nvPicPr>
        <xdr:cNvPr id="551" name="/xl/media/image112.png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318</xdr:row>
      <xdr:rowOff>9525</xdr:rowOff>
    </xdr:from>
    <xdr:ext cx="571500" cy="571500"/>
    <xdr:pic>
      <xdr:nvPicPr>
        <xdr:cNvPr id="552" name="/xl/media/image86.png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318</xdr:row>
      <xdr:rowOff>9525</xdr:rowOff>
    </xdr:from>
    <xdr:ext cx="571500" cy="571500"/>
    <xdr:pic>
      <xdr:nvPicPr>
        <xdr:cNvPr id="553" name="/xl/media/image87.png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318</xdr:row>
      <xdr:rowOff>9525</xdr:rowOff>
    </xdr:from>
    <xdr:ext cx="571500" cy="571500"/>
    <xdr:pic>
      <xdr:nvPicPr>
        <xdr:cNvPr id="554" name="/xl/media/image83.png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320</xdr:row>
      <xdr:rowOff>9525</xdr:rowOff>
    </xdr:from>
    <xdr:ext cx="571500" cy="571500"/>
    <xdr:pic>
      <xdr:nvPicPr>
        <xdr:cNvPr id="555" name="/xl/media/image85.png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320</xdr:row>
      <xdr:rowOff>9525</xdr:rowOff>
    </xdr:from>
    <xdr:ext cx="571500" cy="571500"/>
    <xdr:pic>
      <xdr:nvPicPr>
        <xdr:cNvPr id="556" name="/xl/media/image84.png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320</xdr:row>
      <xdr:rowOff>9525</xdr:rowOff>
    </xdr:from>
    <xdr:ext cx="571500" cy="571500"/>
    <xdr:pic>
      <xdr:nvPicPr>
        <xdr:cNvPr id="557" name="/xl/media/image36.png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323</xdr:row>
      <xdr:rowOff>428625</xdr:rowOff>
    </xdr:from>
    <xdr:ext cx="1438275" cy="1438275"/>
    <xdr:pic>
      <xdr:nvPicPr>
        <xdr:cNvPr id="558" name="/xl/media/image74.png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324</xdr:row>
      <xdr:rowOff>19050</xdr:rowOff>
    </xdr:from>
    <xdr:ext cx="647700" cy="647700"/>
    <xdr:pic>
      <xdr:nvPicPr>
        <xdr:cNvPr id="559" name="/xl/media/image113.png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325</xdr:row>
      <xdr:rowOff>9525</xdr:rowOff>
    </xdr:from>
    <xdr:ext cx="571500" cy="571500"/>
    <xdr:pic>
      <xdr:nvPicPr>
        <xdr:cNvPr id="560" name="/xl/media/image31.png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325</xdr:row>
      <xdr:rowOff>9525</xdr:rowOff>
    </xdr:from>
    <xdr:ext cx="571500" cy="571500"/>
    <xdr:pic>
      <xdr:nvPicPr>
        <xdr:cNvPr id="561" name="/xl/media/image33.png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325</xdr:row>
      <xdr:rowOff>9525</xdr:rowOff>
    </xdr:from>
    <xdr:ext cx="571500" cy="571500"/>
    <xdr:pic>
      <xdr:nvPicPr>
        <xdr:cNvPr id="562" name="/xl/media/image34.png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327</xdr:row>
      <xdr:rowOff>9525</xdr:rowOff>
    </xdr:from>
    <xdr:ext cx="571500" cy="571500"/>
    <xdr:pic>
      <xdr:nvPicPr>
        <xdr:cNvPr id="563" name="/xl/media/image35.png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327</xdr:row>
      <xdr:rowOff>9525</xdr:rowOff>
    </xdr:from>
    <xdr:ext cx="571500" cy="571500"/>
    <xdr:pic>
      <xdr:nvPicPr>
        <xdr:cNvPr id="564" name="/xl/media/image36.png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324</xdr:row>
      <xdr:rowOff>19050</xdr:rowOff>
    </xdr:from>
    <xdr:ext cx="647700" cy="647700"/>
    <xdr:pic>
      <xdr:nvPicPr>
        <xdr:cNvPr id="565" name="/xl/media/image113.png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325</xdr:row>
      <xdr:rowOff>9525</xdr:rowOff>
    </xdr:from>
    <xdr:ext cx="571500" cy="571500"/>
    <xdr:pic>
      <xdr:nvPicPr>
        <xdr:cNvPr id="566" name="/xl/media/image83.png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325</xdr:row>
      <xdr:rowOff>9525</xdr:rowOff>
    </xdr:from>
    <xdr:ext cx="571500" cy="571500"/>
    <xdr:pic>
      <xdr:nvPicPr>
        <xdr:cNvPr id="567" name="/xl/media/image85.png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325</xdr:row>
      <xdr:rowOff>9525</xdr:rowOff>
    </xdr:from>
    <xdr:ext cx="571500" cy="571500"/>
    <xdr:pic>
      <xdr:nvPicPr>
        <xdr:cNvPr id="568" name="/xl/media/image86.png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327</xdr:row>
      <xdr:rowOff>9525</xdr:rowOff>
    </xdr:from>
    <xdr:ext cx="571500" cy="571500"/>
    <xdr:pic>
      <xdr:nvPicPr>
        <xdr:cNvPr id="569" name="/xl/media/image87.png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327</xdr:row>
      <xdr:rowOff>9525</xdr:rowOff>
    </xdr:from>
    <xdr:ext cx="571500" cy="571500"/>
    <xdr:pic>
      <xdr:nvPicPr>
        <xdr:cNvPr id="570" name="/xl/media/image36.png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330</xdr:row>
      <xdr:rowOff>428625</xdr:rowOff>
    </xdr:from>
    <xdr:ext cx="1438275" cy="1438275"/>
    <xdr:pic>
      <xdr:nvPicPr>
        <xdr:cNvPr id="571" name="/xl/media/image76.png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331</xdr:row>
      <xdr:rowOff>19050</xdr:rowOff>
    </xdr:from>
    <xdr:ext cx="647700" cy="647700"/>
    <xdr:pic>
      <xdr:nvPicPr>
        <xdr:cNvPr id="572" name="/xl/media/image114.png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332</xdr:row>
      <xdr:rowOff>9525</xdr:rowOff>
    </xdr:from>
    <xdr:ext cx="571500" cy="571500"/>
    <xdr:pic>
      <xdr:nvPicPr>
        <xdr:cNvPr id="573" name="/xl/media/image31.png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332</xdr:row>
      <xdr:rowOff>9525</xdr:rowOff>
    </xdr:from>
    <xdr:ext cx="571500" cy="571500"/>
    <xdr:pic>
      <xdr:nvPicPr>
        <xdr:cNvPr id="574" name="/xl/media/image33.png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332</xdr:row>
      <xdr:rowOff>9525</xdr:rowOff>
    </xdr:from>
    <xdr:ext cx="571500" cy="571500"/>
    <xdr:pic>
      <xdr:nvPicPr>
        <xdr:cNvPr id="575" name="/xl/media/image34.png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334</xdr:row>
      <xdr:rowOff>9525</xdr:rowOff>
    </xdr:from>
    <xdr:ext cx="571500" cy="571500"/>
    <xdr:pic>
      <xdr:nvPicPr>
        <xdr:cNvPr id="576" name="/xl/media/image35.png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334</xdr:row>
      <xdr:rowOff>9525</xdr:rowOff>
    </xdr:from>
    <xdr:ext cx="571500" cy="571500"/>
    <xdr:pic>
      <xdr:nvPicPr>
        <xdr:cNvPr id="577" name="/xl/media/image36.png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331</xdr:row>
      <xdr:rowOff>19050</xdr:rowOff>
    </xdr:from>
    <xdr:ext cx="647700" cy="647700"/>
    <xdr:pic>
      <xdr:nvPicPr>
        <xdr:cNvPr id="578" name="/xl/media/image114.png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332</xdr:row>
      <xdr:rowOff>9525</xdr:rowOff>
    </xdr:from>
    <xdr:ext cx="571500" cy="571500"/>
    <xdr:pic>
      <xdr:nvPicPr>
        <xdr:cNvPr id="579" name="/xl/media/image83.png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332</xdr:row>
      <xdr:rowOff>9525</xdr:rowOff>
    </xdr:from>
    <xdr:ext cx="571500" cy="571500"/>
    <xdr:pic>
      <xdr:nvPicPr>
        <xdr:cNvPr id="580" name="/xl/media/image85.png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332</xdr:row>
      <xdr:rowOff>9525</xdr:rowOff>
    </xdr:from>
    <xdr:ext cx="571500" cy="571500"/>
    <xdr:pic>
      <xdr:nvPicPr>
        <xdr:cNvPr id="581" name="/xl/media/image86.png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334</xdr:row>
      <xdr:rowOff>9525</xdr:rowOff>
    </xdr:from>
    <xdr:ext cx="571500" cy="571500"/>
    <xdr:pic>
      <xdr:nvPicPr>
        <xdr:cNvPr id="582" name="/xl/media/image87.png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334</xdr:row>
      <xdr:rowOff>9525</xdr:rowOff>
    </xdr:from>
    <xdr:ext cx="571500" cy="571500"/>
    <xdr:pic>
      <xdr:nvPicPr>
        <xdr:cNvPr id="583" name="/xl/media/image36.png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337</xdr:row>
      <xdr:rowOff>428625</xdr:rowOff>
    </xdr:from>
    <xdr:ext cx="1438275" cy="1438275"/>
    <xdr:pic>
      <xdr:nvPicPr>
        <xdr:cNvPr id="584" name="/xl/media/image78.png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338</xdr:row>
      <xdr:rowOff>19050</xdr:rowOff>
    </xdr:from>
    <xdr:ext cx="647700" cy="647700"/>
    <xdr:pic>
      <xdr:nvPicPr>
        <xdr:cNvPr id="585" name="/xl/media/image113.png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339</xdr:row>
      <xdr:rowOff>9525</xdr:rowOff>
    </xdr:from>
    <xdr:ext cx="571500" cy="571500"/>
    <xdr:pic>
      <xdr:nvPicPr>
        <xdr:cNvPr id="586" name="/xl/media/image31.png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339</xdr:row>
      <xdr:rowOff>9525</xdr:rowOff>
    </xdr:from>
    <xdr:ext cx="571500" cy="571500"/>
    <xdr:pic>
      <xdr:nvPicPr>
        <xdr:cNvPr id="587" name="/xl/media/image33.png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339</xdr:row>
      <xdr:rowOff>9525</xdr:rowOff>
    </xdr:from>
    <xdr:ext cx="571500" cy="571500"/>
    <xdr:pic>
      <xdr:nvPicPr>
        <xdr:cNvPr id="588" name="/xl/media/image34.png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341</xdr:row>
      <xdr:rowOff>9525</xdr:rowOff>
    </xdr:from>
    <xdr:ext cx="571500" cy="571500"/>
    <xdr:pic>
      <xdr:nvPicPr>
        <xdr:cNvPr id="589" name="/xl/media/image35.png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341</xdr:row>
      <xdr:rowOff>9525</xdr:rowOff>
    </xdr:from>
    <xdr:ext cx="571500" cy="571500"/>
    <xdr:pic>
      <xdr:nvPicPr>
        <xdr:cNvPr id="590" name="/xl/media/image36.png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338</xdr:row>
      <xdr:rowOff>19050</xdr:rowOff>
    </xdr:from>
    <xdr:ext cx="647700" cy="647700"/>
    <xdr:pic>
      <xdr:nvPicPr>
        <xdr:cNvPr id="591" name="/xl/media/image113.png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339</xdr:row>
      <xdr:rowOff>9525</xdr:rowOff>
    </xdr:from>
    <xdr:ext cx="571500" cy="571500"/>
    <xdr:pic>
      <xdr:nvPicPr>
        <xdr:cNvPr id="592" name="/xl/media/image83.png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339</xdr:row>
      <xdr:rowOff>9525</xdr:rowOff>
    </xdr:from>
    <xdr:ext cx="571500" cy="571500"/>
    <xdr:pic>
      <xdr:nvPicPr>
        <xdr:cNvPr id="593" name="/xl/media/image85.png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339</xdr:row>
      <xdr:rowOff>9525</xdr:rowOff>
    </xdr:from>
    <xdr:ext cx="571500" cy="571500"/>
    <xdr:pic>
      <xdr:nvPicPr>
        <xdr:cNvPr id="594" name="/xl/media/image86.png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341</xdr:row>
      <xdr:rowOff>9525</xdr:rowOff>
    </xdr:from>
    <xdr:ext cx="571500" cy="571500"/>
    <xdr:pic>
      <xdr:nvPicPr>
        <xdr:cNvPr id="595" name="/xl/media/image87.png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341</xdr:row>
      <xdr:rowOff>9525</xdr:rowOff>
    </xdr:from>
    <xdr:ext cx="571500" cy="571500"/>
    <xdr:pic>
      <xdr:nvPicPr>
        <xdr:cNvPr id="596" name="/xl/media/image36.png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344</xdr:row>
      <xdr:rowOff>428625</xdr:rowOff>
    </xdr:from>
    <xdr:ext cx="1438275" cy="1438275"/>
    <xdr:pic>
      <xdr:nvPicPr>
        <xdr:cNvPr id="597" name="/xl/media/image80.png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345</xdr:row>
      <xdr:rowOff>19050</xdr:rowOff>
    </xdr:from>
    <xdr:ext cx="647700" cy="647700"/>
    <xdr:pic>
      <xdr:nvPicPr>
        <xdr:cNvPr id="598" name="/xl/media/image115.png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346</xdr:row>
      <xdr:rowOff>9525</xdr:rowOff>
    </xdr:from>
    <xdr:ext cx="571500" cy="571500"/>
    <xdr:pic>
      <xdr:nvPicPr>
        <xdr:cNvPr id="599" name="/xl/media/image31.png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346</xdr:row>
      <xdr:rowOff>9525</xdr:rowOff>
    </xdr:from>
    <xdr:ext cx="571500" cy="571500"/>
    <xdr:pic>
      <xdr:nvPicPr>
        <xdr:cNvPr id="600" name="/xl/media/image33.png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346</xdr:row>
      <xdr:rowOff>9525</xdr:rowOff>
    </xdr:from>
    <xdr:ext cx="571500" cy="571500"/>
    <xdr:pic>
      <xdr:nvPicPr>
        <xdr:cNvPr id="601" name="/xl/media/image34.png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348</xdr:row>
      <xdr:rowOff>9525</xdr:rowOff>
    </xdr:from>
    <xdr:ext cx="571500" cy="571500"/>
    <xdr:pic>
      <xdr:nvPicPr>
        <xdr:cNvPr id="602" name="/xl/media/image35.png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348</xdr:row>
      <xdr:rowOff>9525</xdr:rowOff>
    </xdr:from>
    <xdr:ext cx="571500" cy="571500"/>
    <xdr:pic>
      <xdr:nvPicPr>
        <xdr:cNvPr id="603" name="/xl/media/image36.png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345</xdr:row>
      <xdr:rowOff>19050</xdr:rowOff>
    </xdr:from>
    <xdr:ext cx="647700" cy="647700"/>
    <xdr:pic>
      <xdr:nvPicPr>
        <xdr:cNvPr id="604" name="/xl/media/image115.png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346</xdr:row>
      <xdr:rowOff>9525</xdr:rowOff>
    </xdr:from>
    <xdr:ext cx="571500" cy="571500"/>
    <xdr:pic>
      <xdr:nvPicPr>
        <xdr:cNvPr id="605" name="/xl/media/image83.png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346</xdr:row>
      <xdr:rowOff>9525</xdr:rowOff>
    </xdr:from>
    <xdr:ext cx="571500" cy="571500"/>
    <xdr:pic>
      <xdr:nvPicPr>
        <xdr:cNvPr id="606" name="/xl/media/image85.png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346</xdr:row>
      <xdr:rowOff>9525</xdr:rowOff>
    </xdr:from>
    <xdr:ext cx="571500" cy="571500"/>
    <xdr:pic>
      <xdr:nvPicPr>
        <xdr:cNvPr id="607" name="/xl/media/image86.png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348</xdr:row>
      <xdr:rowOff>9525</xdr:rowOff>
    </xdr:from>
    <xdr:ext cx="571500" cy="571500"/>
    <xdr:pic>
      <xdr:nvPicPr>
        <xdr:cNvPr id="608" name="/xl/media/image87.png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348</xdr:row>
      <xdr:rowOff>9525</xdr:rowOff>
    </xdr:from>
    <xdr:ext cx="571500" cy="571500"/>
    <xdr:pic>
      <xdr:nvPicPr>
        <xdr:cNvPr id="609" name="/xl/media/image36.png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351</xdr:row>
      <xdr:rowOff>428625</xdr:rowOff>
    </xdr:from>
    <xdr:ext cx="1438275" cy="1438275"/>
    <xdr:pic>
      <xdr:nvPicPr>
        <xdr:cNvPr id="610" name="/xl/media/image116.png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353</xdr:row>
      <xdr:rowOff>9525</xdr:rowOff>
    </xdr:from>
    <xdr:ext cx="571500" cy="571500"/>
    <xdr:pic>
      <xdr:nvPicPr>
        <xdr:cNvPr id="611" name="/xl/media/image31.png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353</xdr:row>
      <xdr:rowOff>9525</xdr:rowOff>
    </xdr:from>
    <xdr:ext cx="571500" cy="571500"/>
    <xdr:pic>
      <xdr:nvPicPr>
        <xdr:cNvPr id="612" name="/xl/media/image33.png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353</xdr:row>
      <xdr:rowOff>9525</xdr:rowOff>
    </xdr:from>
    <xdr:ext cx="571500" cy="571500"/>
    <xdr:pic>
      <xdr:nvPicPr>
        <xdr:cNvPr id="613" name="/xl/media/image34.png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353</xdr:row>
      <xdr:rowOff>9525</xdr:rowOff>
    </xdr:from>
    <xdr:ext cx="571500" cy="571500"/>
    <xdr:pic>
      <xdr:nvPicPr>
        <xdr:cNvPr id="614" name="/xl/media/image83.png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353</xdr:row>
      <xdr:rowOff>9525</xdr:rowOff>
    </xdr:from>
    <xdr:ext cx="571500" cy="571500"/>
    <xdr:pic>
      <xdr:nvPicPr>
        <xdr:cNvPr id="615" name="/xl/media/image85.png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353</xdr:row>
      <xdr:rowOff>9525</xdr:rowOff>
    </xdr:from>
    <xdr:ext cx="571500" cy="571500"/>
    <xdr:pic>
      <xdr:nvPicPr>
        <xdr:cNvPr id="616" name="/xl/media/image87.png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358</xdr:row>
      <xdr:rowOff>428625</xdr:rowOff>
    </xdr:from>
    <xdr:ext cx="1438275" cy="1438275"/>
    <xdr:pic>
      <xdr:nvPicPr>
        <xdr:cNvPr id="617" name="/xl/media/image82.png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359</xdr:row>
      <xdr:rowOff>19050</xdr:rowOff>
    </xdr:from>
    <xdr:ext cx="647700" cy="647700"/>
    <xdr:pic>
      <xdr:nvPicPr>
        <xdr:cNvPr id="618" name="/xl/media/image101.png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360</xdr:row>
      <xdr:rowOff>9525</xdr:rowOff>
    </xdr:from>
    <xdr:ext cx="571500" cy="571500"/>
    <xdr:pic>
      <xdr:nvPicPr>
        <xdr:cNvPr id="619" name="/xl/media/image83.png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360</xdr:row>
      <xdr:rowOff>9525</xdr:rowOff>
    </xdr:from>
    <xdr:ext cx="571500" cy="571500"/>
    <xdr:pic>
      <xdr:nvPicPr>
        <xdr:cNvPr id="620" name="/xl/media/image84.png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360</xdr:row>
      <xdr:rowOff>9525</xdr:rowOff>
    </xdr:from>
    <xdr:ext cx="571500" cy="571500"/>
    <xdr:pic>
      <xdr:nvPicPr>
        <xdr:cNvPr id="621" name="/xl/media/image85.png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362</xdr:row>
      <xdr:rowOff>9525</xdr:rowOff>
    </xdr:from>
    <xdr:ext cx="571500" cy="571500"/>
    <xdr:pic>
      <xdr:nvPicPr>
        <xdr:cNvPr id="622" name="/xl/media/image86.png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362</xdr:row>
      <xdr:rowOff>9525</xdr:rowOff>
    </xdr:from>
    <xdr:ext cx="571500" cy="571500"/>
    <xdr:pic>
      <xdr:nvPicPr>
        <xdr:cNvPr id="623" name="/xl/media/image87.png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362</xdr:row>
      <xdr:rowOff>9525</xdr:rowOff>
    </xdr:from>
    <xdr:ext cx="571500" cy="571500"/>
    <xdr:pic>
      <xdr:nvPicPr>
        <xdr:cNvPr id="624" name="/xl/media/image36.png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365</xdr:row>
      <xdr:rowOff>428625</xdr:rowOff>
    </xdr:from>
    <xdr:ext cx="1438275" cy="1438275"/>
    <xdr:pic>
      <xdr:nvPicPr>
        <xdr:cNvPr id="625" name="/xl/media/image98.png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366</xdr:row>
      <xdr:rowOff>19050</xdr:rowOff>
    </xdr:from>
    <xdr:ext cx="647700" cy="647700"/>
    <xdr:pic>
      <xdr:nvPicPr>
        <xdr:cNvPr id="626" name="/xl/media/image98.png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367</xdr:row>
      <xdr:rowOff>9525</xdr:rowOff>
    </xdr:from>
    <xdr:ext cx="571500" cy="571500"/>
    <xdr:pic>
      <xdr:nvPicPr>
        <xdr:cNvPr id="627" name="/xl/media/image117.png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367</xdr:row>
      <xdr:rowOff>9525</xdr:rowOff>
    </xdr:from>
    <xdr:ext cx="571500" cy="571500"/>
    <xdr:pic>
      <xdr:nvPicPr>
        <xdr:cNvPr id="628" name="/xl/media/image118.png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367</xdr:row>
      <xdr:rowOff>9525</xdr:rowOff>
    </xdr:from>
    <xdr:ext cx="571500" cy="571500"/>
    <xdr:pic>
      <xdr:nvPicPr>
        <xdr:cNvPr id="629" name="/xl/media/image119.png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369</xdr:row>
      <xdr:rowOff>9525</xdr:rowOff>
    </xdr:from>
    <xdr:ext cx="571500" cy="571500"/>
    <xdr:pic>
      <xdr:nvPicPr>
        <xdr:cNvPr id="630" name="/xl/media/image120.png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372</xdr:row>
      <xdr:rowOff>428625</xdr:rowOff>
    </xdr:from>
    <xdr:ext cx="1438275" cy="1438275"/>
    <xdr:pic>
      <xdr:nvPicPr>
        <xdr:cNvPr id="631" name="/xl/media/image91.png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373</xdr:row>
      <xdr:rowOff>19050</xdr:rowOff>
    </xdr:from>
    <xdr:ext cx="647700" cy="647700"/>
    <xdr:pic>
      <xdr:nvPicPr>
        <xdr:cNvPr id="632" name="/xl/media/image105.png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374</xdr:row>
      <xdr:rowOff>9525</xdr:rowOff>
    </xdr:from>
    <xdr:ext cx="571500" cy="571500"/>
    <xdr:pic>
      <xdr:nvPicPr>
        <xdr:cNvPr id="633" name="/xl/media/image86.png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374</xdr:row>
      <xdr:rowOff>9525</xdr:rowOff>
    </xdr:from>
    <xdr:ext cx="571500" cy="571500"/>
    <xdr:pic>
      <xdr:nvPicPr>
        <xdr:cNvPr id="634" name="/xl/media/image87.png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374</xdr:row>
      <xdr:rowOff>9525</xdr:rowOff>
    </xdr:from>
    <xdr:ext cx="571500" cy="571500"/>
    <xdr:pic>
      <xdr:nvPicPr>
        <xdr:cNvPr id="635" name="/xl/media/image85.png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376</xdr:row>
      <xdr:rowOff>9525</xdr:rowOff>
    </xdr:from>
    <xdr:ext cx="571500" cy="571500"/>
    <xdr:pic>
      <xdr:nvPicPr>
        <xdr:cNvPr id="636" name="/xl/media/image84.png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376</xdr:row>
      <xdr:rowOff>9525</xdr:rowOff>
    </xdr:from>
    <xdr:ext cx="571500" cy="571500"/>
    <xdr:pic>
      <xdr:nvPicPr>
        <xdr:cNvPr id="637" name="/xl/media/image36.png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379</xdr:row>
      <xdr:rowOff>428625</xdr:rowOff>
    </xdr:from>
    <xdr:ext cx="1438275" cy="1438275"/>
    <xdr:pic>
      <xdr:nvPicPr>
        <xdr:cNvPr id="638" name="/xl/media/image70.png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380</xdr:row>
      <xdr:rowOff>19050</xdr:rowOff>
    </xdr:from>
    <xdr:ext cx="647700" cy="647700"/>
    <xdr:pic>
      <xdr:nvPicPr>
        <xdr:cNvPr id="639" name="/xl/media/image121.png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381</xdr:row>
      <xdr:rowOff>9525</xdr:rowOff>
    </xdr:from>
    <xdr:ext cx="571500" cy="571500"/>
    <xdr:pic>
      <xdr:nvPicPr>
        <xdr:cNvPr id="640" name="/xl/media/image31.png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381</xdr:row>
      <xdr:rowOff>9525</xdr:rowOff>
    </xdr:from>
    <xdr:ext cx="571500" cy="571500"/>
    <xdr:pic>
      <xdr:nvPicPr>
        <xdr:cNvPr id="641" name="/xl/media/image32.png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381</xdr:row>
      <xdr:rowOff>9525</xdr:rowOff>
    </xdr:from>
    <xdr:ext cx="571500" cy="571500"/>
    <xdr:pic>
      <xdr:nvPicPr>
        <xdr:cNvPr id="642" name="/xl/media/image33.png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383</xdr:row>
      <xdr:rowOff>9525</xdr:rowOff>
    </xdr:from>
    <xdr:ext cx="571500" cy="571500"/>
    <xdr:pic>
      <xdr:nvPicPr>
        <xdr:cNvPr id="643" name="/xl/media/image34.png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380</xdr:row>
      <xdr:rowOff>19050</xdr:rowOff>
    </xdr:from>
    <xdr:ext cx="647700" cy="647700"/>
    <xdr:pic>
      <xdr:nvPicPr>
        <xdr:cNvPr id="644" name="/xl/media/image121.png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381</xdr:row>
      <xdr:rowOff>9525</xdr:rowOff>
    </xdr:from>
    <xdr:ext cx="571500" cy="571500"/>
    <xdr:pic>
      <xdr:nvPicPr>
        <xdr:cNvPr id="645" name="/xl/media/image83.png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381</xdr:row>
      <xdr:rowOff>9525</xdr:rowOff>
    </xdr:from>
    <xdr:ext cx="571500" cy="571500"/>
    <xdr:pic>
      <xdr:nvPicPr>
        <xdr:cNvPr id="646" name="/xl/media/image84.png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381</xdr:row>
      <xdr:rowOff>9525</xdr:rowOff>
    </xdr:from>
    <xdr:ext cx="571500" cy="571500"/>
    <xdr:pic>
      <xdr:nvPicPr>
        <xdr:cNvPr id="647" name="/xl/media/image85.png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383</xdr:row>
      <xdr:rowOff>9525</xdr:rowOff>
    </xdr:from>
    <xdr:ext cx="571500" cy="571500"/>
    <xdr:pic>
      <xdr:nvPicPr>
        <xdr:cNvPr id="648" name="/xl/media/image87.png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386</xdr:row>
      <xdr:rowOff>428625</xdr:rowOff>
    </xdr:from>
    <xdr:ext cx="1438275" cy="1438275"/>
    <xdr:pic>
      <xdr:nvPicPr>
        <xdr:cNvPr id="649" name="/xl/media/image72.png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387</xdr:row>
      <xdr:rowOff>19050</xdr:rowOff>
    </xdr:from>
    <xdr:ext cx="647700" cy="647700"/>
    <xdr:pic>
      <xdr:nvPicPr>
        <xdr:cNvPr id="650" name="/xl/media/image122.png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388</xdr:row>
      <xdr:rowOff>9525</xdr:rowOff>
    </xdr:from>
    <xdr:ext cx="571500" cy="571500"/>
    <xdr:pic>
      <xdr:nvPicPr>
        <xdr:cNvPr id="651" name="/xl/media/image31.png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388</xdr:row>
      <xdr:rowOff>9525</xdr:rowOff>
    </xdr:from>
    <xdr:ext cx="571500" cy="571500"/>
    <xdr:pic>
      <xdr:nvPicPr>
        <xdr:cNvPr id="652" name="/xl/media/image32.png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388</xdr:row>
      <xdr:rowOff>9525</xdr:rowOff>
    </xdr:from>
    <xdr:ext cx="571500" cy="571500"/>
    <xdr:pic>
      <xdr:nvPicPr>
        <xdr:cNvPr id="653" name="/xl/media/image33.png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390</xdr:row>
      <xdr:rowOff>9525</xdr:rowOff>
    </xdr:from>
    <xdr:ext cx="571500" cy="571500"/>
    <xdr:pic>
      <xdr:nvPicPr>
        <xdr:cNvPr id="654" name="/xl/media/image34.png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387</xdr:row>
      <xdr:rowOff>19050</xdr:rowOff>
    </xdr:from>
    <xdr:ext cx="647700" cy="647700"/>
    <xdr:pic>
      <xdr:nvPicPr>
        <xdr:cNvPr id="655" name="/xl/media/image122.png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388</xdr:row>
      <xdr:rowOff>9525</xdr:rowOff>
    </xdr:from>
    <xdr:ext cx="571500" cy="571500"/>
    <xdr:pic>
      <xdr:nvPicPr>
        <xdr:cNvPr id="656" name="/xl/media/image83.png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388</xdr:row>
      <xdr:rowOff>9525</xdr:rowOff>
    </xdr:from>
    <xdr:ext cx="571500" cy="571500"/>
    <xdr:pic>
      <xdr:nvPicPr>
        <xdr:cNvPr id="657" name="/xl/media/image84.png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388</xdr:row>
      <xdr:rowOff>9525</xdr:rowOff>
    </xdr:from>
    <xdr:ext cx="571500" cy="571500"/>
    <xdr:pic>
      <xdr:nvPicPr>
        <xdr:cNvPr id="658" name="/xl/media/image85.png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390</xdr:row>
      <xdr:rowOff>9525</xdr:rowOff>
    </xdr:from>
    <xdr:ext cx="571500" cy="571500"/>
    <xdr:pic>
      <xdr:nvPicPr>
        <xdr:cNvPr id="659" name="/xl/media/image87.png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393</xdr:row>
      <xdr:rowOff>428625</xdr:rowOff>
    </xdr:from>
    <xdr:ext cx="1438275" cy="1438275"/>
    <xdr:pic>
      <xdr:nvPicPr>
        <xdr:cNvPr id="660" name="/xl/media/image69.png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394</xdr:row>
      <xdr:rowOff>19050</xdr:rowOff>
    </xdr:from>
    <xdr:ext cx="647700" cy="647700"/>
    <xdr:pic>
      <xdr:nvPicPr>
        <xdr:cNvPr id="661" name="/xl/media/image121.png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395</xdr:row>
      <xdr:rowOff>9525</xdr:rowOff>
    </xdr:from>
    <xdr:ext cx="571500" cy="571500"/>
    <xdr:pic>
      <xdr:nvPicPr>
        <xdr:cNvPr id="662" name="/xl/media/image31.png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395</xdr:row>
      <xdr:rowOff>9525</xdr:rowOff>
    </xdr:from>
    <xdr:ext cx="571500" cy="571500"/>
    <xdr:pic>
      <xdr:nvPicPr>
        <xdr:cNvPr id="663" name="/xl/media/image32.png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395</xdr:row>
      <xdr:rowOff>9525</xdr:rowOff>
    </xdr:from>
    <xdr:ext cx="571500" cy="571500"/>
    <xdr:pic>
      <xdr:nvPicPr>
        <xdr:cNvPr id="664" name="/xl/media/image33.png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397</xdr:row>
      <xdr:rowOff>9525</xdr:rowOff>
    </xdr:from>
    <xdr:ext cx="571500" cy="571500"/>
    <xdr:pic>
      <xdr:nvPicPr>
        <xdr:cNvPr id="665" name="/xl/media/image34.png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394</xdr:row>
      <xdr:rowOff>19050</xdr:rowOff>
    </xdr:from>
    <xdr:ext cx="647700" cy="647700"/>
    <xdr:pic>
      <xdr:nvPicPr>
        <xdr:cNvPr id="666" name="/xl/media/image121.png"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395</xdr:row>
      <xdr:rowOff>9525</xdr:rowOff>
    </xdr:from>
    <xdr:ext cx="571500" cy="571500"/>
    <xdr:pic>
      <xdr:nvPicPr>
        <xdr:cNvPr id="667" name="/xl/media/image83.png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395</xdr:row>
      <xdr:rowOff>9525</xdr:rowOff>
    </xdr:from>
    <xdr:ext cx="571500" cy="571500"/>
    <xdr:pic>
      <xdr:nvPicPr>
        <xdr:cNvPr id="668" name="/xl/media/image84.png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395</xdr:row>
      <xdr:rowOff>9525</xdr:rowOff>
    </xdr:from>
    <xdr:ext cx="571500" cy="571500"/>
    <xdr:pic>
      <xdr:nvPicPr>
        <xdr:cNvPr id="669" name="/xl/media/image85.png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397</xdr:row>
      <xdr:rowOff>9525</xdr:rowOff>
    </xdr:from>
    <xdr:ext cx="571500" cy="571500"/>
    <xdr:pic>
      <xdr:nvPicPr>
        <xdr:cNvPr id="670" name="/xl/media/image87.png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400</xdr:row>
      <xdr:rowOff>428625</xdr:rowOff>
    </xdr:from>
    <xdr:ext cx="1438275" cy="1438275"/>
    <xdr:pic>
      <xdr:nvPicPr>
        <xdr:cNvPr id="671" name="/xl/media/image101.png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401</xdr:row>
      <xdr:rowOff>19050</xdr:rowOff>
    </xdr:from>
    <xdr:ext cx="647700" cy="647700"/>
    <xdr:pic>
      <xdr:nvPicPr>
        <xdr:cNvPr id="672" name="/xl/media/image123.png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402</xdr:row>
      <xdr:rowOff>9525</xdr:rowOff>
    </xdr:from>
    <xdr:ext cx="571500" cy="571500"/>
    <xdr:pic>
      <xdr:nvPicPr>
        <xdr:cNvPr id="673" name="/xl/media/image117.png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402</xdr:row>
      <xdr:rowOff>9525</xdr:rowOff>
    </xdr:from>
    <xdr:ext cx="571500" cy="571500"/>
    <xdr:pic>
      <xdr:nvPicPr>
        <xdr:cNvPr id="674" name="/xl/media/image118.png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402</xdr:row>
      <xdr:rowOff>9525</xdr:rowOff>
    </xdr:from>
    <xdr:ext cx="571500" cy="571500"/>
    <xdr:pic>
      <xdr:nvPicPr>
        <xdr:cNvPr id="675" name="/xl/media/image119.png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404</xdr:row>
      <xdr:rowOff>9525</xdr:rowOff>
    </xdr:from>
    <xdr:ext cx="571500" cy="571500"/>
    <xdr:pic>
      <xdr:nvPicPr>
        <xdr:cNvPr id="676" name="/xl/media/image120.png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407</xdr:row>
      <xdr:rowOff>428625</xdr:rowOff>
    </xdr:from>
    <xdr:ext cx="1438275" cy="1438275"/>
    <xdr:pic>
      <xdr:nvPicPr>
        <xdr:cNvPr id="677" name="/xl/media/image102.png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408</xdr:row>
      <xdr:rowOff>19050</xdr:rowOff>
    </xdr:from>
    <xdr:ext cx="647700" cy="647700"/>
    <xdr:pic>
      <xdr:nvPicPr>
        <xdr:cNvPr id="678" name="/xl/media/image123.png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409</xdr:row>
      <xdr:rowOff>9525</xdr:rowOff>
    </xdr:from>
    <xdr:ext cx="571500" cy="571500"/>
    <xdr:pic>
      <xdr:nvPicPr>
        <xdr:cNvPr id="679" name="/xl/media/image117.png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409</xdr:row>
      <xdr:rowOff>9525</xdr:rowOff>
    </xdr:from>
    <xdr:ext cx="571500" cy="571500"/>
    <xdr:pic>
      <xdr:nvPicPr>
        <xdr:cNvPr id="680" name="/xl/media/image118.png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409</xdr:row>
      <xdr:rowOff>9525</xdr:rowOff>
    </xdr:from>
    <xdr:ext cx="571500" cy="571500"/>
    <xdr:pic>
      <xdr:nvPicPr>
        <xdr:cNvPr id="681" name="/xl/media/image119.png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411</xdr:row>
      <xdr:rowOff>9525</xdr:rowOff>
    </xdr:from>
    <xdr:ext cx="571500" cy="571500"/>
    <xdr:pic>
      <xdr:nvPicPr>
        <xdr:cNvPr id="682" name="/xl/media/image120.png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414</xdr:row>
      <xdr:rowOff>428625</xdr:rowOff>
    </xdr:from>
    <xdr:ext cx="1438275" cy="1438275"/>
    <xdr:pic>
      <xdr:nvPicPr>
        <xdr:cNvPr id="683" name="/xl/media/image100.png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415</xdr:row>
      <xdr:rowOff>19050</xdr:rowOff>
    </xdr:from>
    <xdr:ext cx="647700" cy="647700"/>
    <xdr:pic>
      <xdr:nvPicPr>
        <xdr:cNvPr id="684" name="/xl/media/image124.png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416</xdr:row>
      <xdr:rowOff>9525</xdr:rowOff>
    </xdr:from>
    <xdr:ext cx="571500" cy="571500"/>
    <xdr:pic>
      <xdr:nvPicPr>
        <xdr:cNvPr id="685" name="/xl/media/image117.png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416</xdr:row>
      <xdr:rowOff>9525</xdr:rowOff>
    </xdr:from>
    <xdr:ext cx="571500" cy="571500"/>
    <xdr:pic>
      <xdr:nvPicPr>
        <xdr:cNvPr id="686" name="/xl/media/image118.png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416</xdr:row>
      <xdr:rowOff>9525</xdr:rowOff>
    </xdr:from>
    <xdr:ext cx="571500" cy="571500"/>
    <xdr:pic>
      <xdr:nvPicPr>
        <xdr:cNvPr id="687" name="/xl/media/image119.png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418</xdr:row>
      <xdr:rowOff>9525</xdr:rowOff>
    </xdr:from>
    <xdr:ext cx="571500" cy="571500"/>
    <xdr:pic>
      <xdr:nvPicPr>
        <xdr:cNvPr id="688" name="/xl/media/image120.png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421</xdr:row>
      <xdr:rowOff>428625</xdr:rowOff>
    </xdr:from>
    <xdr:ext cx="1438275" cy="1438275"/>
    <xdr:pic>
      <xdr:nvPicPr>
        <xdr:cNvPr id="689" name="/xl/media/image99.png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422</xdr:row>
      <xdr:rowOff>19050</xdr:rowOff>
    </xdr:from>
    <xdr:ext cx="647700" cy="647700"/>
    <xdr:pic>
      <xdr:nvPicPr>
        <xdr:cNvPr id="690" name="/xl/media/image123.png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423</xdr:row>
      <xdr:rowOff>9525</xdr:rowOff>
    </xdr:from>
    <xdr:ext cx="571500" cy="571500"/>
    <xdr:pic>
      <xdr:nvPicPr>
        <xdr:cNvPr id="691" name="/xl/media/image117.png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423</xdr:row>
      <xdr:rowOff>9525</xdr:rowOff>
    </xdr:from>
    <xdr:ext cx="571500" cy="571500"/>
    <xdr:pic>
      <xdr:nvPicPr>
        <xdr:cNvPr id="692" name="/xl/media/image118.png"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423</xdr:row>
      <xdr:rowOff>9525</xdr:rowOff>
    </xdr:from>
    <xdr:ext cx="571500" cy="571500"/>
    <xdr:pic>
      <xdr:nvPicPr>
        <xdr:cNvPr id="693" name="/xl/media/image119.png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425</xdr:row>
      <xdr:rowOff>9525</xdr:rowOff>
    </xdr:from>
    <xdr:ext cx="571500" cy="571500"/>
    <xdr:pic>
      <xdr:nvPicPr>
        <xdr:cNvPr id="694" name="/xl/media/image120.png"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422</xdr:row>
      <xdr:rowOff>19050</xdr:rowOff>
    </xdr:from>
    <xdr:ext cx="647700" cy="647700"/>
    <xdr:pic>
      <xdr:nvPicPr>
        <xdr:cNvPr id="695" name="/xl/media/image125.png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423</xdr:row>
      <xdr:rowOff>9525</xdr:rowOff>
    </xdr:from>
    <xdr:ext cx="571500" cy="571500"/>
    <xdr:pic>
      <xdr:nvPicPr>
        <xdr:cNvPr id="696" name="/xl/media/image117.png">
          <a:extLst>
            <a:ext uri="{FF2B5EF4-FFF2-40B4-BE49-F238E27FC236}">
              <a16:creationId xmlns:a16="http://schemas.microsoft.com/office/drawing/2014/main" id="{00000000-0008-0000-01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423</xdr:row>
      <xdr:rowOff>9525</xdr:rowOff>
    </xdr:from>
    <xdr:ext cx="571500" cy="571500"/>
    <xdr:pic>
      <xdr:nvPicPr>
        <xdr:cNvPr id="697" name="/xl/media/image118.png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423</xdr:row>
      <xdr:rowOff>9525</xdr:rowOff>
    </xdr:from>
    <xdr:ext cx="571500" cy="571500"/>
    <xdr:pic>
      <xdr:nvPicPr>
        <xdr:cNvPr id="698" name="/xl/media/image119.png">
          <a:extLst>
            <a:ext uri="{FF2B5EF4-FFF2-40B4-BE49-F238E27FC236}">
              <a16:creationId xmlns:a16="http://schemas.microsoft.com/office/drawing/2014/main" id="{00000000-0008-0000-01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425</xdr:row>
      <xdr:rowOff>9525</xdr:rowOff>
    </xdr:from>
    <xdr:ext cx="571500" cy="571500"/>
    <xdr:pic>
      <xdr:nvPicPr>
        <xdr:cNvPr id="699" name="/xl/media/image120.png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428</xdr:row>
      <xdr:rowOff>428625</xdr:rowOff>
    </xdr:from>
    <xdr:ext cx="1438275" cy="1438275"/>
    <xdr:pic>
      <xdr:nvPicPr>
        <xdr:cNvPr id="700" name="/xl/media/image96.png">
          <a:extLst>
            <a:ext uri="{FF2B5EF4-FFF2-40B4-BE49-F238E27FC236}">
              <a16:creationId xmlns:a16="http://schemas.microsoft.com/office/drawing/2014/main" id="{00000000-0008-0000-01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429</xdr:row>
      <xdr:rowOff>19050</xdr:rowOff>
    </xdr:from>
    <xdr:ext cx="647700" cy="647700"/>
    <xdr:pic>
      <xdr:nvPicPr>
        <xdr:cNvPr id="701" name="/xl/media/image126.png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430</xdr:row>
      <xdr:rowOff>9525</xdr:rowOff>
    </xdr:from>
    <xdr:ext cx="571500" cy="571500"/>
    <xdr:pic>
      <xdr:nvPicPr>
        <xdr:cNvPr id="702" name="/xl/media/image117.png">
          <a:extLst>
            <a:ext uri="{FF2B5EF4-FFF2-40B4-BE49-F238E27FC236}">
              <a16:creationId xmlns:a16="http://schemas.microsoft.com/office/drawing/2014/main" id="{00000000-0008-0000-01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430</xdr:row>
      <xdr:rowOff>9525</xdr:rowOff>
    </xdr:from>
    <xdr:ext cx="571500" cy="571500"/>
    <xdr:pic>
      <xdr:nvPicPr>
        <xdr:cNvPr id="703" name="/xl/media/image118.png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430</xdr:row>
      <xdr:rowOff>9525</xdr:rowOff>
    </xdr:from>
    <xdr:ext cx="571500" cy="571500"/>
    <xdr:pic>
      <xdr:nvPicPr>
        <xdr:cNvPr id="704" name="/xl/media/image119.png">
          <a:extLst>
            <a:ext uri="{FF2B5EF4-FFF2-40B4-BE49-F238E27FC236}">
              <a16:creationId xmlns:a16="http://schemas.microsoft.com/office/drawing/2014/main" id="{00000000-0008-0000-01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432</xdr:row>
      <xdr:rowOff>9525</xdr:rowOff>
    </xdr:from>
    <xdr:ext cx="571500" cy="571500"/>
    <xdr:pic>
      <xdr:nvPicPr>
        <xdr:cNvPr id="705" name="/xl/media/image120.png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435</xdr:row>
      <xdr:rowOff>428625</xdr:rowOff>
    </xdr:from>
    <xdr:ext cx="1438275" cy="1438275"/>
    <xdr:pic>
      <xdr:nvPicPr>
        <xdr:cNvPr id="706" name="/xl/media/image103.png">
          <a:extLst>
            <a:ext uri="{FF2B5EF4-FFF2-40B4-BE49-F238E27FC236}">
              <a16:creationId xmlns:a16="http://schemas.microsoft.com/office/drawing/2014/main" id="{00000000-0008-0000-01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436</xdr:row>
      <xdr:rowOff>19050</xdr:rowOff>
    </xdr:from>
    <xdr:ext cx="647700" cy="647700"/>
    <xdr:pic>
      <xdr:nvPicPr>
        <xdr:cNvPr id="707" name="/xl/media/image127.png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437</xdr:row>
      <xdr:rowOff>9525</xdr:rowOff>
    </xdr:from>
    <xdr:ext cx="571500" cy="571500"/>
    <xdr:pic>
      <xdr:nvPicPr>
        <xdr:cNvPr id="708" name="/xl/media/image117.png">
          <a:extLst>
            <a:ext uri="{FF2B5EF4-FFF2-40B4-BE49-F238E27FC236}">
              <a16:creationId xmlns:a16="http://schemas.microsoft.com/office/drawing/2014/main" id="{00000000-0008-0000-01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437</xdr:row>
      <xdr:rowOff>9525</xdr:rowOff>
    </xdr:from>
    <xdr:ext cx="571500" cy="571500"/>
    <xdr:pic>
      <xdr:nvPicPr>
        <xdr:cNvPr id="709" name="/xl/media/image118.png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437</xdr:row>
      <xdr:rowOff>9525</xdr:rowOff>
    </xdr:from>
    <xdr:ext cx="571500" cy="571500"/>
    <xdr:pic>
      <xdr:nvPicPr>
        <xdr:cNvPr id="710" name="/xl/media/image119.png">
          <a:extLst>
            <a:ext uri="{FF2B5EF4-FFF2-40B4-BE49-F238E27FC236}">
              <a16:creationId xmlns:a16="http://schemas.microsoft.com/office/drawing/2014/main" id="{00000000-0008-0000-01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439</xdr:row>
      <xdr:rowOff>9525</xdr:rowOff>
    </xdr:from>
    <xdr:ext cx="571500" cy="571500"/>
    <xdr:pic>
      <xdr:nvPicPr>
        <xdr:cNvPr id="711" name="/xl/media/image120.png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442</xdr:row>
      <xdr:rowOff>428625</xdr:rowOff>
    </xdr:from>
    <xdr:ext cx="1438275" cy="1438275"/>
    <xdr:pic>
      <xdr:nvPicPr>
        <xdr:cNvPr id="712" name="/xl/media/image97.png">
          <a:extLst>
            <a:ext uri="{FF2B5EF4-FFF2-40B4-BE49-F238E27FC236}">
              <a16:creationId xmlns:a16="http://schemas.microsoft.com/office/drawing/2014/main" id="{00000000-0008-0000-01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443</xdr:row>
      <xdr:rowOff>19050</xdr:rowOff>
    </xdr:from>
    <xdr:ext cx="647700" cy="647700"/>
    <xdr:pic>
      <xdr:nvPicPr>
        <xdr:cNvPr id="713" name="/xl/media/image125.png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444</xdr:row>
      <xdr:rowOff>9525</xdr:rowOff>
    </xdr:from>
    <xdr:ext cx="571500" cy="571500"/>
    <xdr:pic>
      <xdr:nvPicPr>
        <xdr:cNvPr id="714" name="/xl/media/image117.png">
          <a:extLst>
            <a:ext uri="{FF2B5EF4-FFF2-40B4-BE49-F238E27FC236}">
              <a16:creationId xmlns:a16="http://schemas.microsoft.com/office/drawing/2014/main" id="{00000000-0008-0000-01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444</xdr:row>
      <xdr:rowOff>9525</xdr:rowOff>
    </xdr:from>
    <xdr:ext cx="571500" cy="571500"/>
    <xdr:pic>
      <xdr:nvPicPr>
        <xdr:cNvPr id="715" name="/xl/media/image118.png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444</xdr:row>
      <xdr:rowOff>9525</xdr:rowOff>
    </xdr:from>
    <xdr:ext cx="571500" cy="571500"/>
    <xdr:pic>
      <xdr:nvPicPr>
        <xdr:cNvPr id="716" name="/xl/media/image119.png">
          <a:extLst>
            <a:ext uri="{FF2B5EF4-FFF2-40B4-BE49-F238E27FC236}">
              <a16:creationId xmlns:a16="http://schemas.microsoft.com/office/drawing/2014/main" id="{00000000-0008-0000-01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446</xdr:row>
      <xdr:rowOff>9525</xdr:rowOff>
    </xdr:from>
    <xdr:ext cx="571500" cy="571500"/>
    <xdr:pic>
      <xdr:nvPicPr>
        <xdr:cNvPr id="717" name="/xl/media/image120.png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449</xdr:row>
      <xdr:rowOff>428625</xdr:rowOff>
    </xdr:from>
    <xdr:ext cx="1438275" cy="1438275"/>
    <xdr:pic>
      <xdr:nvPicPr>
        <xdr:cNvPr id="718" name="/xl/media/image93.png">
          <a:extLst>
            <a:ext uri="{FF2B5EF4-FFF2-40B4-BE49-F238E27FC236}">
              <a16:creationId xmlns:a16="http://schemas.microsoft.com/office/drawing/2014/main" id="{00000000-0008-0000-01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450</xdr:row>
      <xdr:rowOff>19050</xdr:rowOff>
    </xdr:from>
    <xdr:ext cx="647700" cy="647700"/>
    <xdr:pic>
      <xdr:nvPicPr>
        <xdr:cNvPr id="719" name="/xl/media/image128.png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451</xdr:row>
      <xdr:rowOff>9525</xdr:rowOff>
    </xdr:from>
    <xdr:ext cx="571500" cy="571500"/>
    <xdr:pic>
      <xdr:nvPicPr>
        <xdr:cNvPr id="720" name="/xl/media/image31.png">
          <a:extLst>
            <a:ext uri="{FF2B5EF4-FFF2-40B4-BE49-F238E27FC236}">
              <a16:creationId xmlns:a16="http://schemas.microsoft.com/office/drawing/2014/main" id="{00000000-0008-0000-01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451</xdr:row>
      <xdr:rowOff>9525</xdr:rowOff>
    </xdr:from>
    <xdr:ext cx="571500" cy="571500"/>
    <xdr:pic>
      <xdr:nvPicPr>
        <xdr:cNvPr id="721" name="/xl/media/image33.png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451</xdr:row>
      <xdr:rowOff>9525</xdr:rowOff>
    </xdr:from>
    <xdr:ext cx="571500" cy="571500"/>
    <xdr:pic>
      <xdr:nvPicPr>
        <xdr:cNvPr id="722" name="/xl/media/image34.png">
          <a:extLst>
            <a:ext uri="{FF2B5EF4-FFF2-40B4-BE49-F238E27FC236}">
              <a16:creationId xmlns:a16="http://schemas.microsoft.com/office/drawing/2014/main" id="{00000000-0008-0000-01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453</xdr:row>
      <xdr:rowOff>9525</xdr:rowOff>
    </xdr:from>
    <xdr:ext cx="571500" cy="571500"/>
    <xdr:pic>
      <xdr:nvPicPr>
        <xdr:cNvPr id="723" name="/xl/media/image35.png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453</xdr:row>
      <xdr:rowOff>9525</xdr:rowOff>
    </xdr:from>
    <xdr:ext cx="571500" cy="571500"/>
    <xdr:pic>
      <xdr:nvPicPr>
        <xdr:cNvPr id="724" name="/xl/media/image36.png">
          <a:extLst>
            <a:ext uri="{FF2B5EF4-FFF2-40B4-BE49-F238E27FC236}">
              <a16:creationId xmlns:a16="http://schemas.microsoft.com/office/drawing/2014/main" id="{00000000-0008-0000-01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450</xdr:row>
      <xdr:rowOff>19050</xdr:rowOff>
    </xdr:from>
    <xdr:ext cx="647700" cy="647700"/>
    <xdr:pic>
      <xdr:nvPicPr>
        <xdr:cNvPr id="725" name="/xl/media/image128.png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451</xdr:row>
      <xdr:rowOff>9525</xdr:rowOff>
    </xdr:from>
    <xdr:ext cx="571500" cy="571500"/>
    <xdr:pic>
      <xdr:nvPicPr>
        <xdr:cNvPr id="726" name="/xl/media/image83.png">
          <a:extLst>
            <a:ext uri="{FF2B5EF4-FFF2-40B4-BE49-F238E27FC236}">
              <a16:creationId xmlns:a16="http://schemas.microsoft.com/office/drawing/2014/main" id="{00000000-0008-0000-01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451</xdr:row>
      <xdr:rowOff>9525</xdr:rowOff>
    </xdr:from>
    <xdr:ext cx="571500" cy="571500"/>
    <xdr:pic>
      <xdr:nvPicPr>
        <xdr:cNvPr id="727" name="/xl/media/image85.png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451</xdr:row>
      <xdr:rowOff>9525</xdr:rowOff>
    </xdr:from>
    <xdr:ext cx="571500" cy="571500"/>
    <xdr:pic>
      <xdr:nvPicPr>
        <xdr:cNvPr id="728" name="/xl/media/image86.png">
          <a:extLst>
            <a:ext uri="{FF2B5EF4-FFF2-40B4-BE49-F238E27FC236}">
              <a16:creationId xmlns:a16="http://schemas.microsoft.com/office/drawing/2014/main" id="{00000000-0008-0000-01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453</xdr:row>
      <xdr:rowOff>9525</xdr:rowOff>
    </xdr:from>
    <xdr:ext cx="571500" cy="571500"/>
    <xdr:pic>
      <xdr:nvPicPr>
        <xdr:cNvPr id="729" name="/xl/media/image87.png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453</xdr:row>
      <xdr:rowOff>9525</xdr:rowOff>
    </xdr:from>
    <xdr:ext cx="571500" cy="571500"/>
    <xdr:pic>
      <xdr:nvPicPr>
        <xdr:cNvPr id="730" name="/xl/media/image36.png">
          <a:extLst>
            <a:ext uri="{FF2B5EF4-FFF2-40B4-BE49-F238E27FC236}">
              <a16:creationId xmlns:a16="http://schemas.microsoft.com/office/drawing/2014/main" id="{00000000-0008-0000-01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456</xdr:row>
      <xdr:rowOff>428625</xdr:rowOff>
    </xdr:from>
    <xdr:ext cx="1438275" cy="1438275"/>
    <xdr:pic>
      <xdr:nvPicPr>
        <xdr:cNvPr id="731" name="/xl/media/image110.png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457</xdr:row>
      <xdr:rowOff>19050</xdr:rowOff>
    </xdr:from>
    <xdr:ext cx="647700" cy="647700"/>
    <xdr:pic>
      <xdr:nvPicPr>
        <xdr:cNvPr id="732" name="/xl/media/image129.png">
          <a:extLst>
            <a:ext uri="{FF2B5EF4-FFF2-40B4-BE49-F238E27FC236}">
              <a16:creationId xmlns:a16="http://schemas.microsoft.com/office/drawing/2014/main" id="{00000000-0008-0000-01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458</xdr:row>
      <xdr:rowOff>9525</xdr:rowOff>
    </xdr:from>
    <xdr:ext cx="571500" cy="571500"/>
    <xdr:pic>
      <xdr:nvPicPr>
        <xdr:cNvPr id="733" name="/xl/media/image117.png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458</xdr:row>
      <xdr:rowOff>9525</xdr:rowOff>
    </xdr:from>
    <xdr:ext cx="571500" cy="571500"/>
    <xdr:pic>
      <xdr:nvPicPr>
        <xdr:cNvPr id="734" name="/xl/media/image118.png">
          <a:extLst>
            <a:ext uri="{FF2B5EF4-FFF2-40B4-BE49-F238E27FC236}">
              <a16:creationId xmlns:a16="http://schemas.microsoft.com/office/drawing/2014/main" id="{00000000-0008-0000-01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458</xdr:row>
      <xdr:rowOff>9525</xdr:rowOff>
    </xdr:from>
    <xdr:ext cx="571500" cy="571500"/>
    <xdr:pic>
      <xdr:nvPicPr>
        <xdr:cNvPr id="735" name="/xl/media/image119.png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460</xdr:row>
      <xdr:rowOff>9525</xdr:rowOff>
    </xdr:from>
    <xdr:ext cx="571500" cy="571500"/>
    <xdr:pic>
      <xdr:nvPicPr>
        <xdr:cNvPr id="736" name="/xl/media/image120.png">
          <a:extLst>
            <a:ext uri="{FF2B5EF4-FFF2-40B4-BE49-F238E27FC236}">
              <a16:creationId xmlns:a16="http://schemas.microsoft.com/office/drawing/2014/main" id="{00000000-0008-0000-01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463</xdr:row>
      <xdr:rowOff>428625</xdr:rowOff>
    </xdr:from>
    <xdr:ext cx="1438275" cy="1438275"/>
    <xdr:pic>
      <xdr:nvPicPr>
        <xdr:cNvPr id="737" name="/xl/media/image111.png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464</xdr:row>
      <xdr:rowOff>19050</xdr:rowOff>
    </xdr:from>
    <xdr:ext cx="647700" cy="647700"/>
    <xdr:pic>
      <xdr:nvPicPr>
        <xdr:cNvPr id="738" name="/xl/media/image129.png">
          <a:extLst>
            <a:ext uri="{FF2B5EF4-FFF2-40B4-BE49-F238E27FC236}">
              <a16:creationId xmlns:a16="http://schemas.microsoft.com/office/drawing/2014/main" id="{00000000-0008-0000-01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465</xdr:row>
      <xdr:rowOff>9525</xdr:rowOff>
    </xdr:from>
    <xdr:ext cx="571500" cy="571500"/>
    <xdr:pic>
      <xdr:nvPicPr>
        <xdr:cNvPr id="739" name="/xl/media/image117.png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465</xdr:row>
      <xdr:rowOff>9525</xdr:rowOff>
    </xdr:from>
    <xdr:ext cx="571500" cy="571500"/>
    <xdr:pic>
      <xdr:nvPicPr>
        <xdr:cNvPr id="740" name="/xl/media/image118.png">
          <a:extLst>
            <a:ext uri="{FF2B5EF4-FFF2-40B4-BE49-F238E27FC236}">
              <a16:creationId xmlns:a16="http://schemas.microsoft.com/office/drawing/2014/main" id="{00000000-0008-0000-01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465</xdr:row>
      <xdr:rowOff>9525</xdr:rowOff>
    </xdr:from>
    <xdr:ext cx="571500" cy="571500"/>
    <xdr:pic>
      <xdr:nvPicPr>
        <xdr:cNvPr id="741" name="/xl/media/image119.png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467</xdr:row>
      <xdr:rowOff>9525</xdr:rowOff>
    </xdr:from>
    <xdr:ext cx="571500" cy="571500"/>
    <xdr:pic>
      <xdr:nvPicPr>
        <xdr:cNvPr id="742" name="/xl/media/image120.png">
          <a:extLst>
            <a:ext uri="{FF2B5EF4-FFF2-40B4-BE49-F238E27FC236}">
              <a16:creationId xmlns:a16="http://schemas.microsoft.com/office/drawing/2014/main" id="{00000000-0008-0000-01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470</xdr:row>
      <xdr:rowOff>428625</xdr:rowOff>
    </xdr:from>
    <xdr:ext cx="1438275" cy="1438275"/>
    <xdr:pic>
      <xdr:nvPicPr>
        <xdr:cNvPr id="743" name="/xl/media/image112.png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471</xdr:row>
      <xdr:rowOff>19050</xdr:rowOff>
    </xdr:from>
    <xdr:ext cx="647700" cy="647700"/>
    <xdr:pic>
      <xdr:nvPicPr>
        <xdr:cNvPr id="744" name="/xl/media/image130.png">
          <a:extLst>
            <a:ext uri="{FF2B5EF4-FFF2-40B4-BE49-F238E27FC236}">
              <a16:creationId xmlns:a16="http://schemas.microsoft.com/office/drawing/2014/main" id="{00000000-0008-0000-01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472</xdr:row>
      <xdr:rowOff>9525</xdr:rowOff>
    </xdr:from>
    <xdr:ext cx="571500" cy="571500"/>
    <xdr:pic>
      <xdr:nvPicPr>
        <xdr:cNvPr id="745" name="/xl/media/image117.png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472</xdr:row>
      <xdr:rowOff>9525</xdr:rowOff>
    </xdr:from>
    <xdr:ext cx="571500" cy="571500"/>
    <xdr:pic>
      <xdr:nvPicPr>
        <xdr:cNvPr id="746" name="/xl/media/image118.png">
          <a:extLst>
            <a:ext uri="{FF2B5EF4-FFF2-40B4-BE49-F238E27FC236}">
              <a16:creationId xmlns:a16="http://schemas.microsoft.com/office/drawing/2014/main" id="{00000000-0008-0000-01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472</xdr:row>
      <xdr:rowOff>9525</xdr:rowOff>
    </xdr:from>
    <xdr:ext cx="571500" cy="571500"/>
    <xdr:pic>
      <xdr:nvPicPr>
        <xdr:cNvPr id="747" name="/xl/media/image119.png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474</xdr:row>
      <xdr:rowOff>9525</xdr:rowOff>
    </xdr:from>
    <xdr:ext cx="571500" cy="571500"/>
    <xdr:pic>
      <xdr:nvPicPr>
        <xdr:cNvPr id="748" name="/xl/media/image120.png">
          <a:extLst>
            <a:ext uri="{FF2B5EF4-FFF2-40B4-BE49-F238E27FC236}">
              <a16:creationId xmlns:a16="http://schemas.microsoft.com/office/drawing/2014/main" id="{00000000-0008-0000-01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477</xdr:row>
      <xdr:rowOff>428625</xdr:rowOff>
    </xdr:from>
    <xdr:ext cx="1438275" cy="1438275"/>
    <xdr:pic>
      <xdr:nvPicPr>
        <xdr:cNvPr id="749" name="/xl/media/image109.png">
          <a:extLst>
            <a:ext uri="{FF2B5EF4-FFF2-40B4-BE49-F238E27FC236}">
              <a16:creationId xmlns:a16="http://schemas.microsoft.com/office/drawing/2014/main" id="{00000000-0008-0000-01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478</xdr:row>
      <xdr:rowOff>19050</xdr:rowOff>
    </xdr:from>
    <xdr:ext cx="647700" cy="647700"/>
    <xdr:pic>
      <xdr:nvPicPr>
        <xdr:cNvPr id="750" name="/xl/media/image131.png">
          <a:extLst>
            <a:ext uri="{FF2B5EF4-FFF2-40B4-BE49-F238E27FC236}">
              <a16:creationId xmlns:a16="http://schemas.microsoft.com/office/drawing/2014/main" id="{00000000-0008-0000-01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479</xdr:row>
      <xdr:rowOff>9525</xdr:rowOff>
    </xdr:from>
    <xdr:ext cx="571500" cy="571500"/>
    <xdr:pic>
      <xdr:nvPicPr>
        <xdr:cNvPr id="751" name="/xl/media/image117.png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479</xdr:row>
      <xdr:rowOff>9525</xdr:rowOff>
    </xdr:from>
    <xdr:ext cx="571500" cy="571500"/>
    <xdr:pic>
      <xdr:nvPicPr>
        <xdr:cNvPr id="752" name="/xl/media/image118.png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479</xdr:row>
      <xdr:rowOff>9525</xdr:rowOff>
    </xdr:from>
    <xdr:ext cx="571500" cy="571500"/>
    <xdr:pic>
      <xdr:nvPicPr>
        <xdr:cNvPr id="753" name="/xl/media/image119.png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481</xdr:row>
      <xdr:rowOff>9525</xdr:rowOff>
    </xdr:from>
    <xdr:ext cx="571500" cy="571500"/>
    <xdr:pic>
      <xdr:nvPicPr>
        <xdr:cNvPr id="754" name="/xl/media/image120.png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484</xdr:row>
      <xdr:rowOff>428625</xdr:rowOff>
    </xdr:from>
    <xdr:ext cx="1438275" cy="1438275"/>
    <xdr:pic>
      <xdr:nvPicPr>
        <xdr:cNvPr id="755" name="/xl/media/image107.png"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485</xdr:row>
      <xdr:rowOff>19050</xdr:rowOff>
    </xdr:from>
    <xdr:ext cx="647700" cy="647700"/>
    <xdr:pic>
      <xdr:nvPicPr>
        <xdr:cNvPr id="756" name="/xl/media/image123.png">
          <a:extLst>
            <a:ext uri="{FF2B5EF4-FFF2-40B4-BE49-F238E27FC236}">
              <a16:creationId xmlns:a16="http://schemas.microsoft.com/office/drawing/2014/main" id="{00000000-0008-0000-01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486</xdr:row>
      <xdr:rowOff>9525</xdr:rowOff>
    </xdr:from>
    <xdr:ext cx="571500" cy="571500"/>
    <xdr:pic>
      <xdr:nvPicPr>
        <xdr:cNvPr id="757" name="/xl/media/image117.png">
          <a:extLst>
            <a:ext uri="{FF2B5EF4-FFF2-40B4-BE49-F238E27FC236}">
              <a16:creationId xmlns:a16="http://schemas.microsoft.com/office/drawing/2014/main" id="{00000000-0008-0000-01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486</xdr:row>
      <xdr:rowOff>9525</xdr:rowOff>
    </xdr:from>
    <xdr:ext cx="571500" cy="571500"/>
    <xdr:pic>
      <xdr:nvPicPr>
        <xdr:cNvPr id="758" name="/xl/media/image118.png">
          <a:extLst>
            <a:ext uri="{FF2B5EF4-FFF2-40B4-BE49-F238E27FC236}">
              <a16:creationId xmlns:a16="http://schemas.microsoft.com/office/drawing/2014/main" id="{00000000-0008-0000-01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486</xdr:row>
      <xdr:rowOff>9525</xdr:rowOff>
    </xdr:from>
    <xdr:ext cx="571500" cy="571500"/>
    <xdr:pic>
      <xdr:nvPicPr>
        <xdr:cNvPr id="759" name="/xl/media/image119.png">
          <a:extLst>
            <a:ext uri="{FF2B5EF4-FFF2-40B4-BE49-F238E27FC236}">
              <a16:creationId xmlns:a16="http://schemas.microsoft.com/office/drawing/2014/main" id="{00000000-0008-0000-01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488</xdr:row>
      <xdr:rowOff>9525</xdr:rowOff>
    </xdr:from>
    <xdr:ext cx="571500" cy="571500"/>
    <xdr:pic>
      <xdr:nvPicPr>
        <xdr:cNvPr id="760" name="/xl/media/image120.png">
          <a:extLst>
            <a:ext uri="{FF2B5EF4-FFF2-40B4-BE49-F238E27FC236}">
              <a16:creationId xmlns:a16="http://schemas.microsoft.com/office/drawing/2014/main" id="{00000000-0008-0000-01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491</xdr:row>
      <xdr:rowOff>428625</xdr:rowOff>
    </xdr:from>
    <xdr:ext cx="1438275" cy="1438275"/>
    <xdr:pic>
      <xdr:nvPicPr>
        <xdr:cNvPr id="761" name="/xl/media/image108.png">
          <a:extLst>
            <a:ext uri="{FF2B5EF4-FFF2-40B4-BE49-F238E27FC236}">
              <a16:creationId xmlns:a16="http://schemas.microsoft.com/office/drawing/2014/main" id="{00000000-0008-0000-01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492</xdr:row>
      <xdr:rowOff>19050</xdr:rowOff>
    </xdr:from>
    <xdr:ext cx="647700" cy="647700"/>
    <xdr:pic>
      <xdr:nvPicPr>
        <xdr:cNvPr id="762" name="/xl/media/image123.png">
          <a:extLst>
            <a:ext uri="{FF2B5EF4-FFF2-40B4-BE49-F238E27FC236}">
              <a16:creationId xmlns:a16="http://schemas.microsoft.com/office/drawing/2014/main" id="{00000000-0008-0000-01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493</xdr:row>
      <xdr:rowOff>9525</xdr:rowOff>
    </xdr:from>
    <xdr:ext cx="571500" cy="571500"/>
    <xdr:pic>
      <xdr:nvPicPr>
        <xdr:cNvPr id="763" name="/xl/media/image117.png">
          <a:extLst>
            <a:ext uri="{FF2B5EF4-FFF2-40B4-BE49-F238E27FC236}">
              <a16:creationId xmlns:a16="http://schemas.microsoft.com/office/drawing/2014/main" id="{00000000-0008-0000-01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493</xdr:row>
      <xdr:rowOff>9525</xdr:rowOff>
    </xdr:from>
    <xdr:ext cx="571500" cy="571500"/>
    <xdr:pic>
      <xdr:nvPicPr>
        <xdr:cNvPr id="764" name="/xl/media/image118.png">
          <a:extLst>
            <a:ext uri="{FF2B5EF4-FFF2-40B4-BE49-F238E27FC236}">
              <a16:creationId xmlns:a16="http://schemas.microsoft.com/office/drawing/2014/main" id="{00000000-0008-0000-01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493</xdr:row>
      <xdr:rowOff>9525</xdr:rowOff>
    </xdr:from>
    <xdr:ext cx="571500" cy="571500"/>
    <xdr:pic>
      <xdr:nvPicPr>
        <xdr:cNvPr id="765" name="/xl/media/image119.png">
          <a:extLst>
            <a:ext uri="{FF2B5EF4-FFF2-40B4-BE49-F238E27FC236}">
              <a16:creationId xmlns:a16="http://schemas.microsoft.com/office/drawing/2014/main" id="{00000000-0008-0000-01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495</xdr:row>
      <xdr:rowOff>9525</xdr:rowOff>
    </xdr:from>
    <xdr:ext cx="571500" cy="571500"/>
    <xdr:pic>
      <xdr:nvPicPr>
        <xdr:cNvPr id="766" name="/xl/media/image120.png">
          <a:extLst>
            <a:ext uri="{FF2B5EF4-FFF2-40B4-BE49-F238E27FC236}">
              <a16:creationId xmlns:a16="http://schemas.microsoft.com/office/drawing/2014/main" id="{00000000-0008-0000-01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498</xdr:row>
      <xdr:rowOff>428625</xdr:rowOff>
    </xdr:from>
    <xdr:ext cx="1438275" cy="1438275"/>
    <xdr:pic>
      <xdr:nvPicPr>
        <xdr:cNvPr id="767" name="/xl/media/image115.png">
          <a:extLst>
            <a:ext uri="{FF2B5EF4-FFF2-40B4-BE49-F238E27FC236}">
              <a16:creationId xmlns:a16="http://schemas.microsoft.com/office/drawing/2014/main" id="{00000000-0008-0000-01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499</xdr:row>
      <xdr:rowOff>19050</xdr:rowOff>
    </xdr:from>
    <xdr:ext cx="647700" cy="647700"/>
    <xdr:pic>
      <xdr:nvPicPr>
        <xdr:cNvPr id="768" name="/xl/media/image132.png">
          <a:extLst>
            <a:ext uri="{FF2B5EF4-FFF2-40B4-BE49-F238E27FC236}">
              <a16:creationId xmlns:a16="http://schemas.microsoft.com/office/drawing/2014/main" id="{00000000-0008-0000-01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500</xdr:row>
      <xdr:rowOff>9525</xdr:rowOff>
    </xdr:from>
    <xdr:ext cx="571500" cy="571500"/>
    <xdr:pic>
      <xdr:nvPicPr>
        <xdr:cNvPr id="769" name="/xl/media/image118.png">
          <a:extLst>
            <a:ext uri="{FF2B5EF4-FFF2-40B4-BE49-F238E27FC236}">
              <a16:creationId xmlns:a16="http://schemas.microsoft.com/office/drawing/2014/main" id="{00000000-0008-0000-01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500</xdr:row>
      <xdr:rowOff>9525</xdr:rowOff>
    </xdr:from>
    <xdr:ext cx="571500" cy="571500"/>
    <xdr:pic>
      <xdr:nvPicPr>
        <xdr:cNvPr id="770" name="/xl/media/image117.png">
          <a:extLst>
            <a:ext uri="{FF2B5EF4-FFF2-40B4-BE49-F238E27FC236}">
              <a16:creationId xmlns:a16="http://schemas.microsoft.com/office/drawing/2014/main" id="{00000000-0008-0000-01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500</xdr:row>
      <xdr:rowOff>9525</xdr:rowOff>
    </xdr:from>
    <xdr:ext cx="571500" cy="571500"/>
    <xdr:pic>
      <xdr:nvPicPr>
        <xdr:cNvPr id="771" name="/xl/media/image119.png">
          <a:extLst>
            <a:ext uri="{FF2B5EF4-FFF2-40B4-BE49-F238E27FC236}">
              <a16:creationId xmlns:a16="http://schemas.microsoft.com/office/drawing/2014/main" id="{00000000-0008-0000-01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505</xdr:row>
      <xdr:rowOff>428625</xdr:rowOff>
    </xdr:from>
    <xdr:ext cx="1438275" cy="1438275"/>
    <xdr:pic>
      <xdr:nvPicPr>
        <xdr:cNvPr id="772" name="/xl/media/image55.png">
          <a:extLst>
            <a:ext uri="{FF2B5EF4-FFF2-40B4-BE49-F238E27FC236}">
              <a16:creationId xmlns:a16="http://schemas.microsoft.com/office/drawing/2014/main" id="{00000000-0008-0000-01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506</xdr:row>
      <xdr:rowOff>19050</xdr:rowOff>
    </xdr:from>
    <xdr:ext cx="647700" cy="647700"/>
    <xdr:pic>
      <xdr:nvPicPr>
        <xdr:cNvPr id="773" name="/xl/media/image133.png">
          <a:extLst>
            <a:ext uri="{FF2B5EF4-FFF2-40B4-BE49-F238E27FC236}">
              <a16:creationId xmlns:a16="http://schemas.microsoft.com/office/drawing/2014/main" id="{00000000-0008-0000-01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507</xdr:row>
      <xdr:rowOff>9525</xdr:rowOff>
    </xdr:from>
    <xdr:ext cx="571500" cy="571500"/>
    <xdr:pic>
      <xdr:nvPicPr>
        <xdr:cNvPr id="774" name="/xl/media/image117.png">
          <a:extLst>
            <a:ext uri="{FF2B5EF4-FFF2-40B4-BE49-F238E27FC236}">
              <a16:creationId xmlns:a16="http://schemas.microsoft.com/office/drawing/2014/main" id="{00000000-0008-0000-01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507</xdr:row>
      <xdr:rowOff>9525</xdr:rowOff>
    </xdr:from>
    <xdr:ext cx="571500" cy="571500"/>
    <xdr:pic>
      <xdr:nvPicPr>
        <xdr:cNvPr id="775" name="/xl/media/image119.png">
          <a:extLst>
            <a:ext uri="{FF2B5EF4-FFF2-40B4-BE49-F238E27FC236}">
              <a16:creationId xmlns:a16="http://schemas.microsoft.com/office/drawing/2014/main" id="{00000000-0008-0000-01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507</xdr:row>
      <xdr:rowOff>9525</xdr:rowOff>
    </xdr:from>
    <xdr:ext cx="571500" cy="571500"/>
    <xdr:pic>
      <xdr:nvPicPr>
        <xdr:cNvPr id="776" name="/xl/media/image120.png">
          <a:extLst>
            <a:ext uri="{FF2B5EF4-FFF2-40B4-BE49-F238E27FC236}">
              <a16:creationId xmlns:a16="http://schemas.microsoft.com/office/drawing/2014/main" id="{00000000-0008-0000-01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512</xdr:row>
      <xdr:rowOff>428625</xdr:rowOff>
    </xdr:from>
    <xdr:ext cx="1438275" cy="1438275"/>
    <xdr:pic>
      <xdr:nvPicPr>
        <xdr:cNvPr id="777" name="/xl/media/image105.png">
          <a:extLst>
            <a:ext uri="{FF2B5EF4-FFF2-40B4-BE49-F238E27FC236}">
              <a16:creationId xmlns:a16="http://schemas.microsoft.com/office/drawing/2014/main" id="{00000000-0008-0000-01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513</xdr:row>
      <xdr:rowOff>19050</xdr:rowOff>
    </xdr:from>
    <xdr:ext cx="647700" cy="647700"/>
    <xdr:pic>
      <xdr:nvPicPr>
        <xdr:cNvPr id="778" name="/xl/media/image134.png">
          <a:extLst>
            <a:ext uri="{FF2B5EF4-FFF2-40B4-BE49-F238E27FC236}">
              <a16:creationId xmlns:a16="http://schemas.microsoft.com/office/drawing/2014/main" id="{00000000-0008-0000-01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514</xdr:row>
      <xdr:rowOff>9525</xdr:rowOff>
    </xdr:from>
    <xdr:ext cx="571500" cy="571500"/>
    <xdr:pic>
      <xdr:nvPicPr>
        <xdr:cNvPr id="779" name="/xl/media/image117.png">
          <a:extLst>
            <a:ext uri="{FF2B5EF4-FFF2-40B4-BE49-F238E27FC236}">
              <a16:creationId xmlns:a16="http://schemas.microsoft.com/office/drawing/2014/main" id="{00000000-0008-0000-01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514</xdr:row>
      <xdr:rowOff>9525</xdr:rowOff>
    </xdr:from>
    <xdr:ext cx="571500" cy="571500"/>
    <xdr:pic>
      <xdr:nvPicPr>
        <xdr:cNvPr id="780" name="/xl/media/image119.png">
          <a:extLst>
            <a:ext uri="{FF2B5EF4-FFF2-40B4-BE49-F238E27FC236}">
              <a16:creationId xmlns:a16="http://schemas.microsoft.com/office/drawing/2014/main" id="{00000000-0008-0000-01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514</xdr:row>
      <xdr:rowOff>9525</xdr:rowOff>
    </xdr:from>
    <xdr:ext cx="571500" cy="571500"/>
    <xdr:pic>
      <xdr:nvPicPr>
        <xdr:cNvPr id="781" name="/xl/media/image120.png">
          <a:extLst>
            <a:ext uri="{FF2B5EF4-FFF2-40B4-BE49-F238E27FC236}">
              <a16:creationId xmlns:a16="http://schemas.microsoft.com/office/drawing/2014/main" id="{00000000-0008-0000-01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519</xdr:row>
      <xdr:rowOff>428625</xdr:rowOff>
    </xdr:from>
    <xdr:ext cx="1438275" cy="1438275"/>
    <xdr:pic>
      <xdr:nvPicPr>
        <xdr:cNvPr id="782" name="/xl/media/image106.png">
          <a:extLst>
            <a:ext uri="{FF2B5EF4-FFF2-40B4-BE49-F238E27FC236}">
              <a16:creationId xmlns:a16="http://schemas.microsoft.com/office/drawing/2014/main" id="{00000000-0008-0000-01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520</xdr:row>
      <xdr:rowOff>19050</xdr:rowOff>
    </xdr:from>
    <xdr:ext cx="647700" cy="647700"/>
    <xdr:pic>
      <xdr:nvPicPr>
        <xdr:cNvPr id="783" name="/xl/media/image135.png">
          <a:extLst>
            <a:ext uri="{FF2B5EF4-FFF2-40B4-BE49-F238E27FC236}">
              <a16:creationId xmlns:a16="http://schemas.microsoft.com/office/drawing/2014/main" id="{00000000-0008-0000-01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521</xdr:row>
      <xdr:rowOff>9525</xdr:rowOff>
    </xdr:from>
    <xdr:ext cx="571500" cy="571500"/>
    <xdr:pic>
      <xdr:nvPicPr>
        <xdr:cNvPr id="784" name="/xl/media/image117.png">
          <a:extLst>
            <a:ext uri="{FF2B5EF4-FFF2-40B4-BE49-F238E27FC236}">
              <a16:creationId xmlns:a16="http://schemas.microsoft.com/office/drawing/2014/main" id="{00000000-0008-0000-01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521</xdr:row>
      <xdr:rowOff>9525</xdr:rowOff>
    </xdr:from>
    <xdr:ext cx="571500" cy="571500"/>
    <xdr:pic>
      <xdr:nvPicPr>
        <xdr:cNvPr id="785" name="/xl/media/image119.png">
          <a:extLst>
            <a:ext uri="{FF2B5EF4-FFF2-40B4-BE49-F238E27FC236}">
              <a16:creationId xmlns:a16="http://schemas.microsoft.com/office/drawing/2014/main" id="{00000000-0008-0000-01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521</xdr:row>
      <xdr:rowOff>9525</xdr:rowOff>
    </xdr:from>
    <xdr:ext cx="571500" cy="571500"/>
    <xdr:pic>
      <xdr:nvPicPr>
        <xdr:cNvPr id="786" name="/xl/media/image120.png">
          <a:extLst>
            <a:ext uri="{FF2B5EF4-FFF2-40B4-BE49-F238E27FC236}">
              <a16:creationId xmlns:a16="http://schemas.microsoft.com/office/drawing/2014/main" id="{00000000-0008-0000-01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526</xdr:row>
      <xdr:rowOff>428625</xdr:rowOff>
    </xdr:from>
    <xdr:ext cx="1438275" cy="1438275"/>
    <xdr:pic>
      <xdr:nvPicPr>
        <xdr:cNvPr id="787" name="/xl/media/image114.png">
          <a:extLst>
            <a:ext uri="{FF2B5EF4-FFF2-40B4-BE49-F238E27FC236}">
              <a16:creationId xmlns:a16="http://schemas.microsoft.com/office/drawing/2014/main" id="{00000000-0008-0000-01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527</xdr:row>
      <xdr:rowOff>19050</xdr:rowOff>
    </xdr:from>
    <xdr:ext cx="647700" cy="647700"/>
    <xdr:pic>
      <xdr:nvPicPr>
        <xdr:cNvPr id="788" name="/xl/media/image136.png">
          <a:extLst>
            <a:ext uri="{FF2B5EF4-FFF2-40B4-BE49-F238E27FC236}">
              <a16:creationId xmlns:a16="http://schemas.microsoft.com/office/drawing/2014/main" id="{00000000-0008-0000-01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528</xdr:row>
      <xdr:rowOff>9525</xdr:rowOff>
    </xdr:from>
    <xdr:ext cx="571500" cy="571500"/>
    <xdr:pic>
      <xdr:nvPicPr>
        <xdr:cNvPr id="789" name="/xl/media/image118.png">
          <a:extLst>
            <a:ext uri="{FF2B5EF4-FFF2-40B4-BE49-F238E27FC236}">
              <a16:creationId xmlns:a16="http://schemas.microsoft.com/office/drawing/2014/main" id="{00000000-0008-0000-01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528</xdr:row>
      <xdr:rowOff>9525</xdr:rowOff>
    </xdr:from>
    <xdr:ext cx="571500" cy="571500"/>
    <xdr:pic>
      <xdr:nvPicPr>
        <xdr:cNvPr id="790" name="/xl/media/image117.png">
          <a:extLst>
            <a:ext uri="{FF2B5EF4-FFF2-40B4-BE49-F238E27FC236}">
              <a16:creationId xmlns:a16="http://schemas.microsoft.com/office/drawing/2014/main" id="{00000000-0008-0000-01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528</xdr:row>
      <xdr:rowOff>9525</xdr:rowOff>
    </xdr:from>
    <xdr:ext cx="571500" cy="571500"/>
    <xdr:pic>
      <xdr:nvPicPr>
        <xdr:cNvPr id="791" name="/xl/media/image119.png">
          <a:extLst>
            <a:ext uri="{FF2B5EF4-FFF2-40B4-BE49-F238E27FC236}">
              <a16:creationId xmlns:a16="http://schemas.microsoft.com/office/drawing/2014/main" id="{00000000-0008-0000-01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533</xdr:row>
      <xdr:rowOff>428625</xdr:rowOff>
    </xdr:from>
    <xdr:ext cx="1438275" cy="1438275"/>
    <xdr:pic>
      <xdr:nvPicPr>
        <xdr:cNvPr id="792" name="/xl/media/image113.png">
          <a:extLst>
            <a:ext uri="{FF2B5EF4-FFF2-40B4-BE49-F238E27FC236}">
              <a16:creationId xmlns:a16="http://schemas.microsoft.com/office/drawing/2014/main" id="{00000000-0008-0000-01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534</xdr:row>
      <xdr:rowOff>19050</xdr:rowOff>
    </xdr:from>
    <xdr:ext cx="647700" cy="647700"/>
    <xdr:pic>
      <xdr:nvPicPr>
        <xdr:cNvPr id="793" name="/xl/media/image137.png">
          <a:extLst>
            <a:ext uri="{FF2B5EF4-FFF2-40B4-BE49-F238E27FC236}">
              <a16:creationId xmlns:a16="http://schemas.microsoft.com/office/drawing/2014/main" id="{00000000-0008-0000-01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535</xdr:row>
      <xdr:rowOff>9525</xdr:rowOff>
    </xdr:from>
    <xdr:ext cx="571500" cy="571500"/>
    <xdr:pic>
      <xdr:nvPicPr>
        <xdr:cNvPr id="794" name="/xl/media/image118.png">
          <a:extLst>
            <a:ext uri="{FF2B5EF4-FFF2-40B4-BE49-F238E27FC236}">
              <a16:creationId xmlns:a16="http://schemas.microsoft.com/office/drawing/2014/main" id="{00000000-0008-0000-01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535</xdr:row>
      <xdr:rowOff>9525</xdr:rowOff>
    </xdr:from>
    <xdr:ext cx="571500" cy="571500"/>
    <xdr:pic>
      <xdr:nvPicPr>
        <xdr:cNvPr id="795" name="/xl/media/image117.png">
          <a:extLst>
            <a:ext uri="{FF2B5EF4-FFF2-40B4-BE49-F238E27FC236}">
              <a16:creationId xmlns:a16="http://schemas.microsoft.com/office/drawing/2014/main" id="{00000000-0008-0000-01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535</xdr:row>
      <xdr:rowOff>9525</xdr:rowOff>
    </xdr:from>
    <xdr:ext cx="571500" cy="571500"/>
    <xdr:pic>
      <xdr:nvPicPr>
        <xdr:cNvPr id="796" name="/xl/media/image119.png">
          <a:extLst>
            <a:ext uri="{FF2B5EF4-FFF2-40B4-BE49-F238E27FC236}">
              <a16:creationId xmlns:a16="http://schemas.microsoft.com/office/drawing/2014/main" id="{00000000-0008-0000-01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540</xdr:row>
      <xdr:rowOff>428625</xdr:rowOff>
    </xdr:from>
    <xdr:ext cx="1438275" cy="1438275"/>
    <xdr:pic>
      <xdr:nvPicPr>
        <xdr:cNvPr id="797" name="/xl/media/image138.png">
          <a:extLst>
            <a:ext uri="{FF2B5EF4-FFF2-40B4-BE49-F238E27FC236}">
              <a16:creationId xmlns:a16="http://schemas.microsoft.com/office/drawing/2014/main" id="{00000000-0008-0000-01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542</xdr:row>
      <xdr:rowOff>9525</xdr:rowOff>
    </xdr:from>
    <xdr:ext cx="571500" cy="571500"/>
    <xdr:pic>
      <xdr:nvPicPr>
        <xdr:cNvPr id="798" name="/xl/media/image117.png">
          <a:extLst>
            <a:ext uri="{FF2B5EF4-FFF2-40B4-BE49-F238E27FC236}">
              <a16:creationId xmlns:a16="http://schemas.microsoft.com/office/drawing/2014/main" id="{00000000-0008-0000-01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542</xdr:row>
      <xdr:rowOff>9525</xdr:rowOff>
    </xdr:from>
    <xdr:ext cx="571500" cy="571500"/>
    <xdr:pic>
      <xdr:nvPicPr>
        <xdr:cNvPr id="799" name="/xl/media/image118.png">
          <a:extLst>
            <a:ext uri="{FF2B5EF4-FFF2-40B4-BE49-F238E27FC236}">
              <a16:creationId xmlns:a16="http://schemas.microsoft.com/office/drawing/2014/main" id="{00000000-0008-0000-01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542</xdr:row>
      <xdr:rowOff>9525</xdr:rowOff>
    </xdr:from>
    <xdr:ext cx="571500" cy="571500"/>
    <xdr:pic>
      <xdr:nvPicPr>
        <xdr:cNvPr id="800" name="/xl/media/image119.png">
          <a:extLst>
            <a:ext uri="{FF2B5EF4-FFF2-40B4-BE49-F238E27FC236}">
              <a16:creationId xmlns:a16="http://schemas.microsoft.com/office/drawing/2014/main" id="{00000000-0008-0000-01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544</xdr:row>
      <xdr:rowOff>9525</xdr:rowOff>
    </xdr:from>
    <xdr:ext cx="571500" cy="571500"/>
    <xdr:pic>
      <xdr:nvPicPr>
        <xdr:cNvPr id="801" name="/xl/media/image120.png">
          <a:extLst>
            <a:ext uri="{FF2B5EF4-FFF2-40B4-BE49-F238E27FC236}">
              <a16:creationId xmlns:a16="http://schemas.microsoft.com/office/drawing/2014/main" id="{00000000-0008-0000-01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547</xdr:row>
      <xdr:rowOff>428625</xdr:rowOff>
    </xdr:from>
    <xdr:ext cx="1438275" cy="1438275"/>
    <xdr:pic>
      <xdr:nvPicPr>
        <xdr:cNvPr id="802" name="/xl/media/image139.png">
          <a:extLst>
            <a:ext uri="{FF2B5EF4-FFF2-40B4-BE49-F238E27FC236}">
              <a16:creationId xmlns:a16="http://schemas.microsoft.com/office/drawing/2014/main" id="{00000000-0008-0000-01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549</xdr:row>
      <xdr:rowOff>9525</xdr:rowOff>
    </xdr:from>
    <xdr:ext cx="571500" cy="571500"/>
    <xdr:pic>
      <xdr:nvPicPr>
        <xdr:cNvPr id="803" name="/xl/media/image117.png">
          <a:extLst>
            <a:ext uri="{FF2B5EF4-FFF2-40B4-BE49-F238E27FC236}">
              <a16:creationId xmlns:a16="http://schemas.microsoft.com/office/drawing/2014/main" id="{00000000-0008-0000-01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549</xdr:row>
      <xdr:rowOff>9525</xdr:rowOff>
    </xdr:from>
    <xdr:ext cx="571500" cy="571500"/>
    <xdr:pic>
      <xdr:nvPicPr>
        <xdr:cNvPr id="804" name="/xl/media/image118.png">
          <a:extLst>
            <a:ext uri="{FF2B5EF4-FFF2-40B4-BE49-F238E27FC236}">
              <a16:creationId xmlns:a16="http://schemas.microsoft.com/office/drawing/2014/main" id="{00000000-0008-0000-01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549</xdr:row>
      <xdr:rowOff>9525</xdr:rowOff>
    </xdr:from>
    <xdr:ext cx="571500" cy="571500"/>
    <xdr:pic>
      <xdr:nvPicPr>
        <xdr:cNvPr id="805" name="/xl/media/image119.png">
          <a:extLst>
            <a:ext uri="{FF2B5EF4-FFF2-40B4-BE49-F238E27FC236}">
              <a16:creationId xmlns:a16="http://schemas.microsoft.com/office/drawing/2014/main" id="{00000000-0008-0000-01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551</xdr:row>
      <xdr:rowOff>9525</xdr:rowOff>
    </xdr:from>
    <xdr:ext cx="571500" cy="571500"/>
    <xdr:pic>
      <xdr:nvPicPr>
        <xdr:cNvPr id="806" name="/xl/media/image120.png">
          <a:extLst>
            <a:ext uri="{FF2B5EF4-FFF2-40B4-BE49-F238E27FC236}">
              <a16:creationId xmlns:a16="http://schemas.microsoft.com/office/drawing/2014/main" id="{00000000-0008-0000-01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554</xdr:row>
      <xdr:rowOff>428625</xdr:rowOff>
    </xdr:from>
    <xdr:ext cx="1438275" cy="1438275"/>
    <xdr:pic>
      <xdr:nvPicPr>
        <xdr:cNvPr id="807" name="/xl/media/image95.png">
          <a:extLst>
            <a:ext uri="{FF2B5EF4-FFF2-40B4-BE49-F238E27FC236}">
              <a16:creationId xmlns:a16="http://schemas.microsoft.com/office/drawing/2014/main" id="{00000000-0008-0000-01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555</xdr:row>
      <xdr:rowOff>19050</xdr:rowOff>
    </xdr:from>
    <xdr:ext cx="647700" cy="647700"/>
    <xdr:pic>
      <xdr:nvPicPr>
        <xdr:cNvPr id="808" name="/xl/media/image95.png">
          <a:extLst>
            <a:ext uri="{FF2B5EF4-FFF2-40B4-BE49-F238E27FC236}">
              <a16:creationId xmlns:a16="http://schemas.microsoft.com/office/drawing/2014/main" id="{00000000-0008-0000-01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556</xdr:row>
      <xdr:rowOff>9525</xdr:rowOff>
    </xdr:from>
    <xdr:ext cx="571500" cy="571500"/>
    <xdr:pic>
      <xdr:nvPicPr>
        <xdr:cNvPr id="809" name="/xl/media/image83.png">
          <a:extLst>
            <a:ext uri="{FF2B5EF4-FFF2-40B4-BE49-F238E27FC236}">
              <a16:creationId xmlns:a16="http://schemas.microsoft.com/office/drawing/2014/main" id="{00000000-0008-0000-01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556</xdr:row>
      <xdr:rowOff>9525</xdr:rowOff>
    </xdr:from>
    <xdr:ext cx="571500" cy="571500"/>
    <xdr:pic>
      <xdr:nvPicPr>
        <xdr:cNvPr id="810" name="/xl/media/image84.png">
          <a:extLst>
            <a:ext uri="{FF2B5EF4-FFF2-40B4-BE49-F238E27FC236}">
              <a16:creationId xmlns:a16="http://schemas.microsoft.com/office/drawing/2014/main" id="{00000000-0008-0000-01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556</xdr:row>
      <xdr:rowOff>9525</xdr:rowOff>
    </xdr:from>
    <xdr:ext cx="571500" cy="571500"/>
    <xdr:pic>
      <xdr:nvPicPr>
        <xdr:cNvPr id="811" name="/xl/media/image85.png">
          <a:extLst>
            <a:ext uri="{FF2B5EF4-FFF2-40B4-BE49-F238E27FC236}">
              <a16:creationId xmlns:a16="http://schemas.microsoft.com/office/drawing/2014/main" id="{00000000-0008-0000-01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558</xdr:row>
      <xdr:rowOff>9525</xdr:rowOff>
    </xdr:from>
    <xdr:ext cx="571500" cy="571500"/>
    <xdr:pic>
      <xdr:nvPicPr>
        <xdr:cNvPr id="812" name="/xl/media/image87.png">
          <a:extLst>
            <a:ext uri="{FF2B5EF4-FFF2-40B4-BE49-F238E27FC236}">
              <a16:creationId xmlns:a16="http://schemas.microsoft.com/office/drawing/2014/main" id="{00000000-0008-0000-01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561</xdr:row>
      <xdr:rowOff>428625</xdr:rowOff>
    </xdr:from>
    <xdr:ext cx="1438275" cy="1438275"/>
    <xdr:pic>
      <xdr:nvPicPr>
        <xdr:cNvPr id="813" name="/xl/media/image95.png">
          <a:extLst>
            <a:ext uri="{FF2B5EF4-FFF2-40B4-BE49-F238E27FC236}">
              <a16:creationId xmlns:a16="http://schemas.microsoft.com/office/drawing/2014/main" id="{00000000-0008-0000-01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562</xdr:row>
      <xdr:rowOff>19050</xdr:rowOff>
    </xdr:from>
    <xdr:ext cx="647700" cy="647700"/>
    <xdr:pic>
      <xdr:nvPicPr>
        <xdr:cNvPr id="814" name="/xl/media/image140.png">
          <a:extLst>
            <a:ext uri="{FF2B5EF4-FFF2-40B4-BE49-F238E27FC236}">
              <a16:creationId xmlns:a16="http://schemas.microsoft.com/office/drawing/2014/main" id="{00000000-0008-0000-01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563</xdr:row>
      <xdr:rowOff>9525</xdr:rowOff>
    </xdr:from>
    <xdr:ext cx="571500" cy="571500"/>
    <xdr:pic>
      <xdr:nvPicPr>
        <xdr:cNvPr id="815" name="/xl/media/image117.png">
          <a:extLst>
            <a:ext uri="{FF2B5EF4-FFF2-40B4-BE49-F238E27FC236}">
              <a16:creationId xmlns:a16="http://schemas.microsoft.com/office/drawing/2014/main" id="{00000000-0008-0000-01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563</xdr:row>
      <xdr:rowOff>9525</xdr:rowOff>
    </xdr:from>
    <xdr:ext cx="571500" cy="571500"/>
    <xdr:pic>
      <xdr:nvPicPr>
        <xdr:cNvPr id="816" name="/xl/media/image118.png">
          <a:extLst>
            <a:ext uri="{FF2B5EF4-FFF2-40B4-BE49-F238E27FC236}">
              <a16:creationId xmlns:a16="http://schemas.microsoft.com/office/drawing/2014/main" id="{00000000-0008-0000-01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563</xdr:row>
      <xdr:rowOff>9525</xdr:rowOff>
    </xdr:from>
    <xdr:ext cx="571500" cy="571500"/>
    <xdr:pic>
      <xdr:nvPicPr>
        <xdr:cNvPr id="817" name="/xl/media/image119.png">
          <a:extLst>
            <a:ext uri="{FF2B5EF4-FFF2-40B4-BE49-F238E27FC236}">
              <a16:creationId xmlns:a16="http://schemas.microsoft.com/office/drawing/2014/main" id="{00000000-0008-0000-01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565</xdr:row>
      <xdr:rowOff>9525</xdr:rowOff>
    </xdr:from>
    <xdr:ext cx="571500" cy="571500"/>
    <xdr:pic>
      <xdr:nvPicPr>
        <xdr:cNvPr id="818" name="/xl/media/image120.png">
          <a:extLst>
            <a:ext uri="{FF2B5EF4-FFF2-40B4-BE49-F238E27FC236}">
              <a16:creationId xmlns:a16="http://schemas.microsoft.com/office/drawing/2014/main" id="{00000000-0008-0000-01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563</xdr:row>
      <xdr:rowOff>9525</xdr:rowOff>
    </xdr:from>
    <xdr:ext cx="571500" cy="571500"/>
    <xdr:pic>
      <xdr:nvPicPr>
        <xdr:cNvPr id="819" name="/xl/media/image117.png">
          <a:extLst>
            <a:ext uri="{FF2B5EF4-FFF2-40B4-BE49-F238E27FC236}">
              <a16:creationId xmlns:a16="http://schemas.microsoft.com/office/drawing/2014/main" id="{00000000-0008-0000-01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563</xdr:row>
      <xdr:rowOff>9525</xdr:rowOff>
    </xdr:from>
    <xdr:ext cx="571500" cy="571500"/>
    <xdr:pic>
      <xdr:nvPicPr>
        <xdr:cNvPr id="820" name="/xl/media/image118.png">
          <a:extLst>
            <a:ext uri="{FF2B5EF4-FFF2-40B4-BE49-F238E27FC236}">
              <a16:creationId xmlns:a16="http://schemas.microsoft.com/office/drawing/2014/main" id="{00000000-0008-0000-01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563</xdr:row>
      <xdr:rowOff>9525</xdr:rowOff>
    </xdr:from>
    <xdr:ext cx="571500" cy="571500"/>
    <xdr:pic>
      <xdr:nvPicPr>
        <xdr:cNvPr id="821" name="/xl/media/image119.png">
          <a:extLst>
            <a:ext uri="{FF2B5EF4-FFF2-40B4-BE49-F238E27FC236}">
              <a16:creationId xmlns:a16="http://schemas.microsoft.com/office/drawing/2014/main" id="{00000000-0008-0000-01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565</xdr:row>
      <xdr:rowOff>9525</xdr:rowOff>
    </xdr:from>
    <xdr:ext cx="571500" cy="571500"/>
    <xdr:pic>
      <xdr:nvPicPr>
        <xdr:cNvPr id="822" name="/xl/media/image120.png">
          <a:extLst>
            <a:ext uri="{FF2B5EF4-FFF2-40B4-BE49-F238E27FC236}">
              <a16:creationId xmlns:a16="http://schemas.microsoft.com/office/drawing/2014/main" id="{00000000-0008-0000-01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568</xdr:row>
      <xdr:rowOff>428625</xdr:rowOff>
    </xdr:from>
    <xdr:ext cx="1438275" cy="1438275"/>
    <xdr:pic>
      <xdr:nvPicPr>
        <xdr:cNvPr id="823" name="/xl/media/image121.png">
          <a:extLst>
            <a:ext uri="{FF2B5EF4-FFF2-40B4-BE49-F238E27FC236}">
              <a16:creationId xmlns:a16="http://schemas.microsoft.com/office/drawing/2014/main" id="{00000000-0008-0000-01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569</xdr:row>
      <xdr:rowOff>19050</xdr:rowOff>
    </xdr:from>
    <xdr:ext cx="647700" cy="647700"/>
    <xdr:pic>
      <xdr:nvPicPr>
        <xdr:cNvPr id="824" name="/xl/media/image141.png">
          <a:extLst>
            <a:ext uri="{FF2B5EF4-FFF2-40B4-BE49-F238E27FC236}">
              <a16:creationId xmlns:a16="http://schemas.microsoft.com/office/drawing/2014/main" id="{00000000-0008-0000-01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570</xdr:row>
      <xdr:rowOff>9525</xdr:rowOff>
    </xdr:from>
    <xdr:ext cx="571500" cy="571500"/>
    <xdr:pic>
      <xdr:nvPicPr>
        <xdr:cNvPr id="825" name="/xl/media/image117.png">
          <a:extLst>
            <a:ext uri="{FF2B5EF4-FFF2-40B4-BE49-F238E27FC236}">
              <a16:creationId xmlns:a16="http://schemas.microsoft.com/office/drawing/2014/main" id="{00000000-0008-0000-01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570</xdr:row>
      <xdr:rowOff>9525</xdr:rowOff>
    </xdr:from>
    <xdr:ext cx="571500" cy="571500"/>
    <xdr:pic>
      <xdr:nvPicPr>
        <xdr:cNvPr id="826" name="/xl/media/image118.png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570</xdr:row>
      <xdr:rowOff>9525</xdr:rowOff>
    </xdr:from>
    <xdr:ext cx="571500" cy="571500"/>
    <xdr:pic>
      <xdr:nvPicPr>
        <xdr:cNvPr id="827" name="/xl/media/image119.png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572</xdr:row>
      <xdr:rowOff>9525</xdr:rowOff>
    </xdr:from>
    <xdr:ext cx="571500" cy="571500"/>
    <xdr:pic>
      <xdr:nvPicPr>
        <xdr:cNvPr id="828" name="/xl/media/image120.png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569</xdr:row>
      <xdr:rowOff>19050</xdr:rowOff>
    </xdr:from>
    <xdr:ext cx="647700" cy="647700"/>
    <xdr:pic>
      <xdr:nvPicPr>
        <xdr:cNvPr id="829" name="/xl/media/image142.png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570</xdr:row>
      <xdr:rowOff>9525</xdr:rowOff>
    </xdr:from>
    <xdr:ext cx="571500" cy="571500"/>
    <xdr:pic>
      <xdr:nvPicPr>
        <xdr:cNvPr id="830" name="/xl/media/image117.png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570</xdr:row>
      <xdr:rowOff>9525</xdr:rowOff>
    </xdr:from>
    <xdr:ext cx="571500" cy="571500"/>
    <xdr:pic>
      <xdr:nvPicPr>
        <xdr:cNvPr id="831" name="/xl/media/image118.png"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570</xdr:row>
      <xdr:rowOff>9525</xdr:rowOff>
    </xdr:from>
    <xdr:ext cx="571500" cy="571500"/>
    <xdr:pic>
      <xdr:nvPicPr>
        <xdr:cNvPr id="832" name="/xl/media/image119.png">
          <a:extLst>
            <a:ext uri="{FF2B5EF4-FFF2-40B4-BE49-F238E27FC236}">
              <a16:creationId xmlns:a16="http://schemas.microsoft.com/office/drawing/2014/main" id="{00000000-0008-0000-01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572</xdr:row>
      <xdr:rowOff>9525</xdr:rowOff>
    </xdr:from>
    <xdr:ext cx="571500" cy="571500"/>
    <xdr:pic>
      <xdr:nvPicPr>
        <xdr:cNvPr id="833" name="/xl/media/image120.png">
          <a:extLst>
            <a:ext uri="{FF2B5EF4-FFF2-40B4-BE49-F238E27FC236}">
              <a16:creationId xmlns:a16="http://schemas.microsoft.com/office/drawing/2014/main" id="{00000000-0008-0000-01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570</xdr:row>
      <xdr:rowOff>9525</xdr:rowOff>
    </xdr:from>
    <xdr:ext cx="571500" cy="571500"/>
    <xdr:pic>
      <xdr:nvPicPr>
        <xdr:cNvPr id="834" name="/xl/media/image117.png">
          <a:extLst>
            <a:ext uri="{FF2B5EF4-FFF2-40B4-BE49-F238E27FC236}">
              <a16:creationId xmlns:a16="http://schemas.microsoft.com/office/drawing/2014/main" id="{00000000-0008-0000-01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570</xdr:row>
      <xdr:rowOff>9525</xdr:rowOff>
    </xdr:from>
    <xdr:ext cx="571500" cy="571500"/>
    <xdr:pic>
      <xdr:nvPicPr>
        <xdr:cNvPr id="835" name="/xl/media/image118.png">
          <a:extLst>
            <a:ext uri="{FF2B5EF4-FFF2-40B4-BE49-F238E27FC236}">
              <a16:creationId xmlns:a16="http://schemas.microsoft.com/office/drawing/2014/main" id="{00000000-0008-0000-01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570</xdr:row>
      <xdr:rowOff>9525</xdr:rowOff>
    </xdr:from>
    <xdr:ext cx="571500" cy="571500"/>
    <xdr:pic>
      <xdr:nvPicPr>
        <xdr:cNvPr id="836" name="/xl/media/image119.png">
          <a:extLst>
            <a:ext uri="{FF2B5EF4-FFF2-40B4-BE49-F238E27FC236}">
              <a16:creationId xmlns:a16="http://schemas.microsoft.com/office/drawing/2014/main" id="{00000000-0008-0000-01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572</xdr:row>
      <xdr:rowOff>9525</xdr:rowOff>
    </xdr:from>
    <xdr:ext cx="571500" cy="571500"/>
    <xdr:pic>
      <xdr:nvPicPr>
        <xdr:cNvPr id="837" name="/xl/media/image120.png">
          <a:extLst>
            <a:ext uri="{FF2B5EF4-FFF2-40B4-BE49-F238E27FC236}">
              <a16:creationId xmlns:a16="http://schemas.microsoft.com/office/drawing/2014/main" id="{00000000-0008-0000-01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575</xdr:row>
      <xdr:rowOff>428625</xdr:rowOff>
    </xdr:from>
    <xdr:ext cx="1438275" cy="1438275"/>
    <xdr:pic>
      <xdr:nvPicPr>
        <xdr:cNvPr id="838" name="/xl/media/image122.png">
          <a:extLst>
            <a:ext uri="{FF2B5EF4-FFF2-40B4-BE49-F238E27FC236}">
              <a16:creationId xmlns:a16="http://schemas.microsoft.com/office/drawing/2014/main" id="{00000000-0008-0000-01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576</xdr:row>
      <xdr:rowOff>19050</xdr:rowOff>
    </xdr:from>
    <xdr:ext cx="647700" cy="647700"/>
    <xdr:pic>
      <xdr:nvPicPr>
        <xdr:cNvPr id="839" name="/xl/media/image140.png">
          <a:extLst>
            <a:ext uri="{FF2B5EF4-FFF2-40B4-BE49-F238E27FC236}">
              <a16:creationId xmlns:a16="http://schemas.microsoft.com/office/drawing/2014/main" id="{00000000-0008-0000-01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577</xdr:row>
      <xdr:rowOff>9525</xdr:rowOff>
    </xdr:from>
    <xdr:ext cx="571500" cy="571500"/>
    <xdr:pic>
      <xdr:nvPicPr>
        <xdr:cNvPr id="840" name="/xl/media/image117.png">
          <a:extLst>
            <a:ext uri="{FF2B5EF4-FFF2-40B4-BE49-F238E27FC236}">
              <a16:creationId xmlns:a16="http://schemas.microsoft.com/office/drawing/2014/main" id="{00000000-0008-0000-01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577</xdr:row>
      <xdr:rowOff>9525</xdr:rowOff>
    </xdr:from>
    <xdr:ext cx="571500" cy="571500"/>
    <xdr:pic>
      <xdr:nvPicPr>
        <xdr:cNvPr id="841" name="/xl/media/image118.png">
          <a:extLst>
            <a:ext uri="{FF2B5EF4-FFF2-40B4-BE49-F238E27FC236}">
              <a16:creationId xmlns:a16="http://schemas.microsoft.com/office/drawing/2014/main" id="{00000000-0008-0000-01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577</xdr:row>
      <xdr:rowOff>9525</xdr:rowOff>
    </xdr:from>
    <xdr:ext cx="571500" cy="571500"/>
    <xdr:pic>
      <xdr:nvPicPr>
        <xdr:cNvPr id="842" name="/xl/media/image119.png">
          <a:extLst>
            <a:ext uri="{FF2B5EF4-FFF2-40B4-BE49-F238E27FC236}">
              <a16:creationId xmlns:a16="http://schemas.microsoft.com/office/drawing/2014/main" id="{00000000-0008-0000-01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579</xdr:row>
      <xdr:rowOff>9525</xdr:rowOff>
    </xdr:from>
    <xdr:ext cx="571500" cy="571500"/>
    <xdr:pic>
      <xdr:nvPicPr>
        <xdr:cNvPr id="843" name="/xl/media/image120.png">
          <a:extLst>
            <a:ext uri="{FF2B5EF4-FFF2-40B4-BE49-F238E27FC236}">
              <a16:creationId xmlns:a16="http://schemas.microsoft.com/office/drawing/2014/main" id="{00000000-0008-0000-01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577</xdr:row>
      <xdr:rowOff>9525</xdr:rowOff>
    </xdr:from>
    <xdr:ext cx="571500" cy="571500"/>
    <xdr:pic>
      <xdr:nvPicPr>
        <xdr:cNvPr id="844" name="/xl/media/image117.png">
          <a:extLst>
            <a:ext uri="{FF2B5EF4-FFF2-40B4-BE49-F238E27FC236}">
              <a16:creationId xmlns:a16="http://schemas.microsoft.com/office/drawing/2014/main" id="{00000000-0008-0000-01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577</xdr:row>
      <xdr:rowOff>9525</xdr:rowOff>
    </xdr:from>
    <xdr:ext cx="571500" cy="571500"/>
    <xdr:pic>
      <xdr:nvPicPr>
        <xdr:cNvPr id="845" name="/xl/media/image118.png">
          <a:extLst>
            <a:ext uri="{FF2B5EF4-FFF2-40B4-BE49-F238E27FC236}">
              <a16:creationId xmlns:a16="http://schemas.microsoft.com/office/drawing/2014/main" id="{00000000-0008-0000-01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577</xdr:row>
      <xdr:rowOff>9525</xdr:rowOff>
    </xdr:from>
    <xdr:ext cx="571500" cy="571500"/>
    <xdr:pic>
      <xdr:nvPicPr>
        <xdr:cNvPr id="846" name="/xl/media/image119.png">
          <a:extLst>
            <a:ext uri="{FF2B5EF4-FFF2-40B4-BE49-F238E27FC236}">
              <a16:creationId xmlns:a16="http://schemas.microsoft.com/office/drawing/2014/main" id="{00000000-0008-0000-01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579</xdr:row>
      <xdr:rowOff>9525</xdr:rowOff>
    </xdr:from>
    <xdr:ext cx="571500" cy="571500"/>
    <xdr:pic>
      <xdr:nvPicPr>
        <xdr:cNvPr id="847" name="/xl/media/image120.png">
          <a:extLst>
            <a:ext uri="{FF2B5EF4-FFF2-40B4-BE49-F238E27FC236}">
              <a16:creationId xmlns:a16="http://schemas.microsoft.com/office/drawing/2014/main" id="{00000000-0008-0000-01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582</xdr:row>
      <xdr:rowOff>428625</xdr:rowOff>
    </xdr:from>
    <xdr:ext cx="1438275" cy="1438275"/>
    <xdr:pic>
      <xdr:nvPicPr>
        <xdr:cNvPr id="848" name="/xl/media/image128.png">
          <a:extLst>
            <a:ext uri="{FF2B5EF4-FFF2-40B4-BE49-F238E27FC236}">
              <a16:creationId xmlns:a16="http://schemas.microsoft.com/office/drawing/2014/main" id="{00000000-0008-0000-01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583</xdr:row>
      <xdr:rowOff>19050</xdr:rowOff>
    </xdr:from>
    <xdr:ext cx="647700" cy="647700"/>
    <xdr:pic>
      <xdr:nvPicPr>
        <xdr:cNvPr id="849" name="/xl/media/image143.png">
          <a:extLst>
            <a:ext uri="{FF2B5EF4-FFF2-40B4-BE49-F238E27FC236}">
              <a16:creationId xmlns:a16="http://schemas.microsoft.com/office/drawing/2014/main" id="{00000000-0008-0000-01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584</xdr:row>
      <xdr:rowOff>9525</xdr:rowOff>
    </xdr:from>
    <xdr:ext cx="571500" cy="571500"/>
    <xdr:pic>
      <xdr:nvPicPr>
        <xdr:cNvPr id="850" name="/xl/media/image117.png">
          <a:extLst>
            <a:ext uri="{FF2B5EF4-FFF2-40B4-BE49-F238E27FC236}">
              <a16:creationId xmlns:a16="http://schemas.microsoft.com/office/drawing/2014/main" id="{00000000-0008-0000-01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584</xdr:row>
      <xdr:rowOff>9525</xdr:rowOff>
    </xdr:from>
    <xdr:ext cx="571500" cy="571500"/>
    <xdr:pic>
      <xdr:nvPicPr>
        <xdr:cNvPr id="851" name="/xl/media/image118.png">
          <a:extLst>
            <a:ext uri="{FF2B5EF4-FFF2-40B4-BE49-F238E27FC236}">
              <a16:creationId xmlns:a16="http://schemas.microsoft.com/office/drawing/2014/main" id="{00000000-0008-0000-01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584</xdr:row>
      <xdr:rowOff>9525</xdr:rowOff>
    </xdr:from>
    <xdr:ext cx="571500" cy="571500"/>
    <xdr:pic>
      <xdr:nvPicPr>
        <xdr:cNvPr id="852" name="/xl/media/image119.png">
          <a:extLst>
            <a:ext uri="{FF2B5EF4-FFF2-40B4-BE49-F238E27FC236}">
              <a16:creationId xmlns:a16="http://schemas.microsoft.com/office/drawing/2014/main" id="{00000000-0008-0000-01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589</xdr:row>
      <xdr:rowOff>428625</xdr:rowOff>
    </xdr:from>
    <xdr:ext cx="1438275" cy="1438275"/>
    <xdr:pic>
      <xdr:nvPicPr>
        <xdr:cNvPr id="853" name="/xl/media/image123.png">
          <a:extLst>
            <a:ext uri="{FF2B5EF4-FFF2-40B4-BE49-F238E27FC236}">
              <a16:creationId xmlns:a16="http://schemas.microsoft.com/office/drawing/2014/main" id="{00000000-0008-0000-01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590</xdr:row>
      <xdr:rowOff>19050</xdr:rowOff>
    </xdr:from>
    <xdr:ext cx="647700" cy="647700"/>
    <xdr:pic>
      <xdr:nvPicPr>
        <xdr:cNvPr id="854" name="/xl/media/image144.png">
          <a:extLst>
            <a:ext uri="{FF2B5EF4-FFF2-40B4-BE49-F238E27FC236}">
              <a16:creationId xmlns:a16="http://schemas.microsoft.com/office/drawing/2014/main" id="{00000000-0008-0000-01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591</xdr:row>
      <xdr:rowOff>9525</xdr:rowOff>
    </xdr:from>
    <xdr:ext cx="571500" cy="571500"/>
    <xdr:pic>
      <xdr:nvPicPr>
        <xdr:cNvPr id="855" name="/xl/media/image145.png">
          <a:extLst>
            <a:ext uri="{FF2B5EF4-FFF2-40B4-BE49-F238E27FC236}">
              <a16:creationId xmlns:a16="http://schemas.microsoft.com/office/drawing/2014/main" id="{00000000-0008-0000-01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591</xdr:row>
      <xdr:rowOff>9525</xdr:rowOff>
    </xdr:from>
    <xdr:ext cx="571500" cy="571500"/>
    <xdr:pic>
      <xdr:nvPicPr>
        <xdr:cNvPr id="856" name="/xl/media/image146.png">
          <a:extLst>
            <a:ext uri="{FF2B5EF4-FFF2-40B4-BE49-F238E27FC236}">
              <a16:creationId xmlns:a16="http://schemas.microsoft.com/office/drawing/2014/main" id="{00000000-0008-0000-01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591</xdr:row>
      <xdr:rowOff>9525</xdr:rowOff>
    </xdr:from>
    <xdr:ext cx="571500" cy="571500"/>
    <xdr:pic>
      <xdr:nvPicPr>
        <xdr:cNvPr id="857" name="/xl/media/image147.png">
          <a:extLst>
            <a:ext uri="{FF2B5EF4-FFF2-40B4-BE49-F238E27FC236}">
              <a16:creationId xmlns:a16="http://schemas.microsoft.com/office/drawing/2014/main" id="{00000000-0008-0000-01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593</xdr:row>
      <xdr:rowOff>9525</xdr:rowOff>
    </xdr:from>
    <xdr:ext cx="571500" cy="571500"/>
    <xdr:pic>
      <xdr:nvPicPr>
        <xdr:cNvPr id="858" name="/xl/media/image148.png">
          <a:extLst>
            <a:ext uri="{FF2B5EF4-FFF2-40B4-BE49-F238E27FC236}">
              <a16:creationId xmlns:a16="http://schemas.microsoft.com/office/drawing/2014/main" id="{00000000-0008-0000-01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591</xdr:row>
      <xdr:rowOff>9525</xdr:rowOff>
    </xdr:from>
    <xdr:ext cx="571500" cy="571500"/>
    <xdr:pic>
      <xdr:nvPicPr>
        <xdr:cNvPr id="859" name="/xl/media/image145.png">
          <a:extLst>
            <a:ext uri="{FF2B5EF4-FFF2-40B4-BE49-F238E27FC236}">
              <a16:creationId xmlns:a16="http://schemas.microsoft.com/office/drawing/2014/main" id="{00000000-0008-0000-01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591</xdr:row>
      <xdr:rowOff>9525</xdr:rowOff>
    </xdr:from>
    <xdr:ext cx="571500" cy="571500"/>
    <xdr:pic>
      <xdr:nvPicPr>
        <xdr:cNvPr id="860" name="/xl/media/image146.png">
          <a:extLst>
            <a:ext uri="{FF2B5EF4-FFF2-40B4-BE49-F238E27FC236}">
              <a16:creationId xmlns:a16="http://schemas.microsoft.com/office/drawing/2014/main" id="{00000000-0008-0000-01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591</xdr:row>
      <xdr:rowOff>9525</xdr:rowOff>
    </xdr:from>
    <xdr:ext cx="571500" cy="571500"/>
    <xdr:pic>
      <xdr:nvPicPr>
        <xdr:cNvPr id="861" name="/xl/media/image147.png">
          <a:extLst>
            <a:ext uri="{FF2B5EF4-FFF2-40B4-BE49-F238E27FC236}">
              <a16:creationId xmlns:a16="http://schemas.microsoft.com/office/drawing/2014/main" id="{00000000-0008-0000-01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593</xdr:row>
      <xdr:rowOff>9525</xdr:rowOff>
    </xdr:from>
    <xdr:ext cx="571500" cy="571500"/>
    <xdr:pic>
      <xdr:nvPicPr>
        <xdr:cNvPr id="862" name="/xl/media/image148.png">
          <a:extLst>
            <a:ext uri="{FF2B5EF4-FFF2-40B4-BE49-F238E27FC236}">
              <a16:creationId xmlns:a16="http://schemas.microsoft.com/office/drawing/2014/main" id="{00000000-0008-0000-01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596</xdr:row>
      <xdr:rowOff>428625</xdr:rowOff>
    </xdr:from>
    <xdr:ext cx="1438275" cy="1438275"/>
    <xdr:pic>
      <xdr:nvPicPr>
        <xdr:cNvPr id="863" name="/xl/media/image124.png">
          <a:extLst>
            <a:ext uri="{FF2B5EF4-FFF2-40B4-BE49-F238E27FC236}">
              <a16:creationId xmlns:a16="http://schemas.microsoft.com/office/drawing/2014/main" id="{00000000-0008-0000-01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597</xdr:row>
      <xdr:rowOff>19050</xdr:rowOff>
    </xdr:from>
    <xdr:ext cx="647700" cy="647700"/>
    <xdr:pic>
      <xdr:nvPicPr>
        <xdr:cNvPr id="864" name="/xl/media/image144.png">
          <a:extLst>
            <a:ext uri="{FF2B5EF4-FFF2-40B4-BE49-F238E27FC236}">
              <a16:creationId xmlns:a16="http://schemas.microsoft.com/office/drawing/2014/main" id="{00000000-0008-0000-01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598</xdr:row>
      <xdr:rowOff>9525</xdr:rowOff>
    </xdr:from>
    <xdr:ext cx="571500" cy="571500"/>
    <xdr:pic>
      <xdr:nvPicPr>
        <xdr:cNvPr id="865" name="/xl/media/image145.png">
          <a:extLst>
            <a:ext uri="{FF2B5EF4-FFF2-40B4-BE49-F238E27FC236}">
              <a16:creationId xmlns:a16="http://schemas.microsoft.com/office/drawing/2014/main" id="{00000000-0008-0000-01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598</xdr:row>
      <xdr:rowOff>9525</xdr:rowOff>
    </xdr:from>
    <xdr:ext cx="571500" cy="571500"/>
    <xdr:pic>
      <xdr:nvPicPr>
        <xdr:cNvPr id="866" name="/xl/media/image146.png">
          <a:extLst>
            <a:ext uri="{FF2B5EF4-FFF2-40B4-BE49-F238E27FC236}">
              <a16:creationId xmlns:a16="http://schemas.microsoft.com/office/drawing/2014/main" id="{00000000-0008-0000-01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598</xdr:row>
      <xdr:rowOff>9525</xdr:rowOff>
    </xdr:from>
    <xdr:ext cx="571500" cy="571500"/>
    <xdr:pic>
      <xdr:nvPicPr>
        <xdr:cNvPr id="867" name="/xl/media/image147.png">
          <a:extLst>
            <a:ext uri="{FF2B5EF4-FFF2-40B4-BE49-F238E27FC236}">
              <a16:creationId xmlns:a16="http://schemas.microsoft.com/office/drawing/2014/main" id="{00000000-0008-0000-01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600</xdr:row>
      <xdr:rowOff>9525</xdr:rowOff>
    </xdr:from>
    <xdr:ext cx="571500" cy="571500"/>
    <xdr:pic>
      <xdr:nvPicPr>
        <xdr:cNvPr id="868" name="/xl/media/image148.png">
          <a:extLst>
            <a:ext uri="{FF2B5EF4-FFF2-40B4-BE49-F238E27FC236}">
              <a16:creationId xmlns:a16="http://schemas.microsoft.com/office/drawing/2014/main" id="{00000000-0008-0000-01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598</xdr:row>
      <xdr:rowOff>9525</xdr:rowOff>
    </xdr:from>
    <xdr:ext cx="571500" cy="571500"/>
    <xdr:pic>
      <xdr:nvPicPr>
        <xdr:cNvPr id="869" name="/xl/media/image145.png">
          <a:extLst>
            <a:ext uri="{FF2B5EF4-FFF2-40B4-BE49-F238E27FC236}">
              <a16:creationId xmlns:a16="http://schemas.microsoft.com/office/drawing/2014/main" id="{00000000-0008-0000-01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598</xdr:row>
      <xdr:rowOff>9525</xdr:rowOff>
    </xdr:from>
    <xdr:ext cx="571500" cy="571500"/>
    <xdr:pic>
      <xdr:nvPicPr>
        <xdr:cNvPr id="870" name="/xl/media/image146.png">
          <a:extLst>
            <a:ext uri="{FF2B5EF4-FFF2-40B4-BE49-F238E27FC236}">
              <a16:creationId xmlns:a16="http://schemas.microsoft.com/office/drawing/2014/main" id="{00000000-0008-0000-01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598</xdr:row>
      <xdr:rowOff>9525</xdr:rowOff>
    </xdr:from>
    <xdr:ext cx="571500" cy="571500"/>
    <xdr:pic>
      <xdr:nvPicPr>
        <xdr:cNvPr id="871" name="/xl/media/image147.png">
          <a:extLst>
            <a:ext uri="{FF2B5EF4-FFF2-40B4-BE49-F238E27FC236}">
              <a16:creationId xmlns:a16="http://schemas.microsoft.com/office/drawing/2014/main" id="{00000000-0008-0000-01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600</xdr:row>
      <xdr:rowOff>9525</xdr:rowOff>
    </xdr:from>
    <xdr:ext cx="571500" cy="571500"/>
    <xdr:pic>
      <xdr:nvPicPr>
        <xdr:cNvPr id="872" name="/xl/media/image148.png">
          <a:extLst>
            <a:ext uri="{FF2B5EF4-FFF2-40B4-BE49-F238E27FC236}">
              <a16:creationId xmlns:a16="http://schemas.microsoft.com/office/drawing/2014/main" id="{00000000-0008-0000-01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603</xdr:row>
      <xdr:rowOff>428625</xdr:rowOff>
    </xdr:from>
    <xdr:ext cx="1438275" cy="1438275"/>
    <xdr:pic>
      <xdr:nvPicPr>
        <xdr:cNvPr id="873" name="/xl/media/image126.png">
          <a:extLst>
            <a:ext uri="{FF2B5EF4-FFF2-40B4-BE49-F238E27FC236}">
              <a16:creationId xmlns:a16="http://schemas.microsoft.com/office/drawing/2014/main" id="{00000000-0008-0000-01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604</xdr:row>
      <xdr:rowOff>19050</xdr:rowOff>
    </xdr:from>
    <xdr:ext cx="647700" cy="647700"/>
    <xdr:pic>
      <xdr:nvPicPr>
        <xdr:cNvPr id="874" name="/xl/media/image149.png">
          <a:extLst>
            <a:ext uri="{FF2B5EF4-FFF2-40B4-BE49-F238E27FC236}">
              <a16:creationId xmlns:a16="http://schemas.microsoft.com/office/drawing/2014/main" id="{00000000-0008-0000-01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605</xdr:row>
      <xdr:rowOff>9525</xdr:rowOff>
    </xdr:from>
    <xdr:ext cx="571500" cy="571500"/>
    <xdr:pic>
      <xdr:nvPicPr>
        <xdr:cNvPr id="875" name="/xl/media/image145.png">
          <a:extLst>
            <a:ext uri="{FF2B5EF4-FFF2-40B4-BE49-F238E27FC236}">
              <a16:creationId xmlns:a16="http://schemas.microsoft.com/office/drawing/2014/main" id="{00000000-0008-0000-01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605</xdr:row>
      <xdr:rowOff>9525</xdr:rowOff>
    </xdr:from>
    <xdr:ext cx="571500" cy="571500"/>
    <xdr:pic>
      <xdr:nvPicPr>
        <xdr:cNvPr id="876" name="/xl/media/image146.png">
          <a:extLst>
            <a:ext uri="{FF2B5EF4-FFF2-40B4-BE49-F238E27FC236}">
              <a16:creationId xmlns:a16="http://schemas.microsoft.com/office/drawing/2014/main" id="{00000000-0008-0000-01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605</xdr:row>
      <xdr:rowOff>9525</xdr:rowOff>
    </xdr:from>
    <xdr:ext cx="571500" cy="571500"/>
    <xdr:pic>
      <xdr:nvPicPr>
        <xdr:cNvPr id="877" name="/xl/media/image147.png">
          <a:extLst>
            <a:ext uri="{FF2B5EF4-FFF2-40B4-BE49-F238E27FC236}">
              <a16:creationId xmlns:a16="http://schemas.microsoft.com/office/drawing/2014/main" id="{00000000-0008-0000-01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607</xdr:row>
      <xdr:rowOff>9525</xdr:rowOff>
    </xdr:from>
    <xdr:ext cx="571500" cy="571500"/>
    <xdr:pic>
      <xdr:nvPicPr>
        <xdr:cNvPr id="878" name="/xl/media/image148.png">
          <a:extLst>
            <a:ext uri="{FF2B5EF4-FFF2-40B4-BE49-F238E27FC236}">
              <a16:creationId xmlns:a16="http://schemas.microsoft.com/office/drawing/2014/main" id="{00000000-0008-0000-01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605</xdr:row>
      <xdr:rowOff>9525</xdr:rowOff>
    </xdr:from>
    <xdr:ext cx="571500" cy="571500"/>
    <xdr:pic>
      <xdr:nvPicPr>
        <xdr:cNvPr id="879" name="/xl/media/image145.png">
          <a:extLst>
            <a:ext uri="{FF2B5EF4-FFF2-40B4-BE49-F238E27FC236}">
              <a16:creationId xmlns:a16="http://schemas.microsoft.com/office/drawing/2014/main" id="{00000000-0008-0000-01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605</xdr:row>
      <xdr:rowOff>9525</xdr:rowOff>
    </xdr:from>
    <xdr:ext cx="571500" cy="571500"/>
    <xdr:pic>
      <xdr:nvPicPr>
        <xdr:cNvPr id="880" name="/xl/media/image146.png">
          <a:extLst>
            <a:ext uri="{FF2B5EF4-FFF2-40B4-BE49-F238E27FC236}">
              <a16:creationId xmlns:a16="http://schemas.microsoft.com/office/drawing/2014/main" id="{00000000-0008-0000-01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605</xdr:row>
      <xdr:rowOff>9525</xdr:rowOff>
    </xdr:from>
    <xdr:ext cx="571500" cy="571500"/>
    <xdr:pic>
      <xdr:nvPicPr>
        <xdr:cNvPr id="881" name="/xl/media/image147.png">
          <a:extLst>
            <a:ext uri="{FF2B5EF4-FFF2-40B4-BE49-F238E27FC236}">
              <a16:creationId xmlns:a16="http://schemas.microsoft.com/office/drawing/2014/main" id="{00000000-0008-0000-01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607</xdr:row>
      <xdr:rowOff>9525</xdr:rowOff>
    </xdr:from>
    <xdr:ext cx="571500" cy="571500"/>
    <xdr:pic>
      <xdr:nvPicPr>
        <xdr:cNvPr id="882" name="/xl/media/image148.png">
          <a:extLst>
            <a:ext uri="{FF2B5EF4-FFF2-40B4-BE49-F238E27FC236}">
              <a16:creationId xmlns:a16="http://schemas.microsoft.com/office/drawing/2014/main" id="{00000000-0008-0000-01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610</xdr:row>
      <xdr:rowOff>428625</xdr:rowOff>
    </xdr:from>
    <xdr:ext cx="1438275" cy="1438275"/>
    <xdr:pic>
      <xdr:nvPicPr>
        <xdr:cNvPr id="883" name="/xl/media/image125.png">
          <a:extLst>
            <a:ext uri="{FF2B5EF4-FFF2-40B4-BE49-F238E27FC236}">
              <a16:creationId xmlns:a16="http://schemas.microsoft.com/office/drawing/2014/main" id="{00000000-0008-0000-01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611</xdr:row>
      <xdr:rowOff>19050</xdr:rowOff>
    </xdr:from>
    <xdr:ext cx="647700" cy="647700"/>
    <xdr:pic>
      <xdr:nvPicPr>
        <xdr:cNvPr id="884" name="/xl/media/image149.png">
          <a:extLst>
            <a:ext uri="{FF2B5EF4-FFF2-40B4-BE49-F238E27FC236}">
              <a16:creationId xmlns:a16="http://schemas.microsoft.com/office/drawing/2014/main" id="{00000000-0008-0000-01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612</xdr:row>
      <xdr:rowOff>9525</xdr:rowOff>
    </xdr:from>
    <xdr:ext cx="571500" cy="571500"/>
    <xdr:pic>
      <xdr:nvPicPr>
        <xdr:cNvPr id="885" name="/xl/media/image145.png">
          <a:extLst>
            <a:ext uri="{FF2B5EF4-FFF2-40B4-BE49-F238E27FC236}">
              <a16:creationId xmlns:a16="http://schemas.microsoft.com/office/drawing/2014/main" id="{00000000-0008-0000-01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612</xdr:row>
      <xdr:rowOff>9525</xdr:rowOff>
    </xdr:from>
    <xdr:ext cx="571500" cy="571500"/>
    <xdr:pic>
      <xdr:nvPicPr>
        <xdr:cNvPr id="886" name="/xl/media/image146.png">
          <a:extLst>
            <a:ext uri="{FF2B5EF4-FFF2-40B4-BE49-F238E27FC236}">
              <a16:creationId xmlns:a16="http://schemas.microsoft.com/office/drawing/2014/main" id="{00000000-0008-0000-01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612</xdr:row>
      <xdr:rowOff>9525</xdr:rowOff>
    </xdr:from>
    <xdr:ext cx="571500" cy="571500"/>
    <xdr:pic>
      <xdr:nvPicPr>
        <xdr:cNvPr id="887" name="/xl/media/image147.png">
          <a:extLst>
            <a:ext uri="{FF2B5EF4-FFF2-40B4-BE49-F238E27FC236}">
              <a16:creationId xmlns:a16="http://schemas.microsoft.com/office/drawing/2014/main" id="{00000000-0008-0000-01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614</xdr:row>
      <xdr:rowOff>9525</xdr:rowOff>
    </xdr:from>
    <xdr:ext cx="571500" cy="571500"/>
    <xdr:pic>
      <xdr:nvPicPr>
        <xdr:cNvPr id="888" name="/xl/media/image148.png">
          <a:extLst>
            <a:ext uri="{FF2B5EF4-FFF2-40B4-BE49-F238E27FC236}">
              <a16:creationId xmlns:a16="http://schemas.microsoft.com/office/drawing/2014/main" id="{00000000-0008-0000-01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612</xdr:row>
      <xdr:rowOff>9525</xdr:rowOff>
    </xdr:from>
    <xdr:ext cx="571500" cy="571500"/>
    <xdr:pic>
      <xdr:nvPicPr>
        <xdr:cNvPr id="889" name="/xl/media/image145.png">
          <a:extLst>
            <a:ext uri="{FF2B5EF4-FFF2-40B4-BE49-F238E27FC236}">
              <a16:creationId xmlns:a16="http://schemas.microsoft.com/office/drawing/2014/main" id="{00000000-0008-0000-01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612</xdr:row>
      <xdr:rowOff>9525</xdr:rowOff>
    </xdr:from>
    <xdr:ext cx="571500" cy="571500"/>
    <xdr:pic>
      <xdr:nvPicPr>
        <xdr:cNvPr id="890" name="/xl/media/image146.png">
          <a:extLst>
            <a:ext uri="{FF2B5EF4-FFF2-40B4-BE49-F238E27FC236}">
              <a16:creationId xmlns:a16="http://schemas.microsoft.com/office/drawing/2014/main" id="{00000000-0008-0000-01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612</xdr:row>
      <xdr:rowOff>9525</xdr:rowOff>
    </xdr:from>
    <xdr:ext cx="571500" cy="571500"/>
    <xdr:pic>
      <xdr:nvPicPr>
        <xdr:cNvPr id="891" name="/xl/media/image147.png">
          <a:extLst>
            <a:ext uri="{FF2B5EF4-FFF2-40B4-BE49-F238E27FC236}">
              <a16:creationId xmlns:a16="http://schemas.microsoft.com/office/drawing/2014/main" id="{00000000-0008-0000-01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614</xdr:row>
      <xdr:rowOff>9525</xdr:rowOff>
    </xdr:from>
    <xdr:ext cx="571500" cy="571500"/>
    <xdr:pic>
      <xdr:nvPicPr>
        <xdr:cNvPr id="892" name="/xl/media/image148.png">
          <a:extLst>
            <a:ext uri="{FF2B5EF4-FFF2-40B4-BE49-F238E27FC236}">
              <a16:creationId xmlns:a16="http://schemas.microsoft.com/office/drawing/2014/main" id="{00000000-0008-0000-01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617</xdr:row>
      <xdr:rowOff>428625</xdr:rowOff>
    </xdr:from>
    <xdr:ext cx="1438275" cy="1438275"/>
    <xdr:pic>
      <xdr:nvPicPr>
        <xdr:cNvPr id="893" name="/xl/media/image127.png">
          <a:extLst>
            <a:ext uri="{FF2B5EF4-FFF2-40B4-BE49-F238E27FC236}">
              <a16:creationId xmlns:a16="http://schemas.microsoft.com/office/drawing/2014/main" id="{00000000-0008-0000-01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618</xdr:row>
      <xdr:rowOff>19050</xdr:rowOff>
    </xdr:from>
    <xdr:ext cx="647700" cy="647700"/>
    <xdr:pic>
      <xdr:nvPicPr>
        <xdr:cNvPr id="894" name="/xl/media/image149.png">
          <a:extLst>
            <a:ext uri="{FF2B5EF4-FFF2-40B4-BE49-F238E27FC236}">
              <a16:creationId xmlns:a16="http://schemas.microsoft.com/office/drawing/2014/main" id="{00000000-0008-0000-01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619</xdr:row>
      <xdr:rowOff>9525</xdr:rowOff>
    </xdr:from>
    <xdr:ext cx="571500" cy="571500"/>
    <xdr:pic>
      <xdr:nvPicPr>
        <xdr:cNvPr id="895" name="/xl/media/image145.png">
          <a:extLst>
            <a:ext uri="{FF2B5EF4-FFF2-40B4-BE49-F238E27FC236}">
              <a16:creationId xmlns:a16="http://schemas.microsoft.com/office/drawing/2014/main" id="{00000000-0008-0000-01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619</xdr:row>
      <xdr:rowOff>9525</xdr:rowOff>
    </xdr:from>
    <xdr:ext cx="571500" cy="571500"/>
    <xdr:pic>
      <xdr:nvPicPr>
        <xdr:cNvPr id="896" name="/xl/media/image146.png">
          <a:extLst>
            <a:ext uri="{FF2B5EF4-FFF2-40B4-BE49-F238E27FC236}">
              <a16:creationId xmlns:a16="http://schemas.microsoft.com/office/drawing/2014/main" id="{00000000-0008-0000-01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619</xdr:row>
      <xdr:rowOff>9525</xdr:rowOff>
    </xdr:from>
    <xdr:ext cx="571500" cy="571500"/>
    <xdr:pic>
      <xdr:nvPicPr>
        <xdr:cNvPr id="897" name="/xl/media/image147.png">
          <a:extLst>
            <a:ext uri="{FF2B5EF4-FFF2-40B4-BE49-F238E27FC236}">
              <a16:creationId xmlns:a16="http://schemas.microsoft.com/office/drawing/2014/main" id="{00000000-0008-0000-01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621</xdr:row>
      <xdr:rowOff>9525</xdr:rowOff>
    </xdr:from>
    <xdr:ext cx="571500" cy="571500"/>
    <xdr:pic>
      <xdr:nvPicPr>
        <xdr:cNvPr id="898" name="/xl/media/image148.png">
          <a:extLst>
            <a:ext uri="{FF2B5EF4-FFF2-40B4-BE49-F238E27FC236}">
              <a16:creationId xmlns:a16="http://schemas.microsoft.com/office/drawing/2014/main" id="{00000000-0008-0000-01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619</xdr:row>
      <xdr:rowOff>9525</xdr:rowOff>
    </xdr:from>
    <xdr:ext cx="571500" cy="571500"/>
    <xdr:pic>
      <xdr:nvPicPr>
        <xdr:cNvPr id="899" name="/xl/media/image145.png">
          <a:extLst>
            <a:ext uri="{FF2B5EF4-FFF2-40B4-BE49-F238E27FC236}">
              <a16:creationId xmlns:a16="http://schemas.microsoft.com/office/drawing/2014/main" id="{00000000-0008-0000-01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619</xdr:row>
      <xdr:rowOff>9525</xdr:rowOff>
    </xdr:from>
    <xdr:ext cx="571500" cy="571500"/>
    <xdr:pic>
      <xdr:nvPicPr>
        <xdr:cNvPr id="900" name="/xl/media/image146.png">
          <a:extLst>
            <a:ext uri="{FF2B5EF4-FFF2-40B4-BE49-F238E27FC236}">
              <a16:creationId xmlns:a16="http://schemas.microsoft.com/office/drawing/2014/main" id="{00000000-0008-0000-01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619</xdr:row>
      <xdr:rowOff>9525</xdr:rowOff>
    </xdr:from>
    <xdr:ext cx="571500" cy="571500"/>
    <xdr:pic>
      <xdr:nvPicPr>
        <xdr:cNvPr id="901" name="/xl/media/image147.png">
          <a:extLst>
            <a:ext uri="{FF2B5EF4-FFF2-40B4-BE49-F238E27FC236}">
              <a16:creationId xmlns:a16="http://schemas.microsoft.com/office/drawing/2014/main" id="{00000000-0008-0000-01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621</xdr:row>
      <xdr:rowOff>9525</xdr:rowOff>
    </xdr:from>
    <xdr:ext cx="571500" cy="571500"/>
    <xdr:pic>
      <xdr:nvPicPr>
        <xdr:cNvPr id="902" name="/xl/media/image148.png">
          <a:extLst>
            <a:ext uri="{FF2B5EF4-FFF2-40B4-BE49-F238E27FC236}">
              <a16:creationId xmlns:a16="http://schemas.microsoft.com/office/drawing/2014/main" id="{00000000-0008-0000-01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624</xdr:row>
      <xdr:rowOff>428625</xdr:rowOff>
    </xdr:from>
    <xdr:ext cx="1438275" cy="1438275"/>
    <xdr:pic>
      <xdr:nvPicPr>
        <xdr:cNvPr id="903" name="/xl/media/image98.png">
          <a:extLst>
            <a:ext uri="{FF2B5EF4-FFF2-40B4-BE49-F238E27FC236}">
              <a16:creationId xmlns:a16="http://schemas.microsoft.com/office/drawing/2014/main" id="{00000000-0008-0000-01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625</xdr:row>
      <xdr:rowOff>19050</xdr:rowOff>
    </xdr:from>
    <xdr:ext cx="647700" cy="647700"/>
    <xdr:pic>
      <xdr:nvPicPr>
        <xdr:cNvPr id="904" name="/xl/media/image149.png">
          <a:extLst>
            <a:ext uri="{FF2B5EF4-FFF2-40B4-BE49-F238E27FC236}">
              <a16:creationId xmlns:a16="http://schemas.microsoft.com/office/drawing/2014/main" id="{00000000-0008-0000-01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626</xdr:row>
      <xdr:rowOff>9525</xdr:rowOff>
    </xdr:from>
    <xdr:ext cx="571500" cy="571500"/>
    <xdr:pic>
      <xdr:nvPicPr>
        <xdr:cNvPr id="905" name="/xl/media/image145.png">
          <a:extLst>
            <a:ext uri="{FF2B5EF4-FFF2-40B4-BE49-F238E27FC236}">
              <a16:creationId xmlns:a16="http://schemas.microsoft.com/office/drawing/2014/main" id="{00000000-0008-0000-01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626</xdr:row>
      <xdr:rowOff>9525</xdr:rowOff>
    </xdr:from>
    <xdr:ext cx="571500" cy="571500"/>
    <xdr:pic>
      <xdr:nvPicPr>
        <xdr:cNvPr id="906" name="/xl/media/image146.png">
          <a:extLst>
            <a:ext uri="{FF2B5EF4-FFF2-40B4-BE49-F238E27FC236}">
              <a16:creationId xmlns:a16="http://schemas.microsoft.com/office/drawing/2014/main" id="{00000000-0008-0000-01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626</xdr:row>
      <xdr:rowOff>9525</xdr:rowOff>
    </xdr:from>
    <xdr:ext cx="571500" cy="571500"/>
    <xdr:pic>
      <xdr:nvPicPr>
        <xdr:cNvPr id="907" name="/xl/media/image147.png">
          <a:extLst>
            <a:ext uri="{FF2B5EF4-FFF2-40B4-BE49-F238E27FC236}">
              <a16:creationId xmlns:a16="http://schemas.microsoft.com/office/drawing/2014/main" id="{00000000-0008-0000-01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628</xdr:row>
      <xdr:rowOff>9525</xdr:rowOff>
    </xdr:from>
    <xdr:ext cx="571500" cy="571500"/>
    <xdr:pic>
      <xdr:nvPicPr>
        <xdr:cNvPr id="908" name="/xl/media/image148.png">
          <a:extLst>
            <a:ext uri="{FF2B5EF4-FFF2-40B4-BE49-F238E27FC236}">
              <a16:creationId xmlns:a16="http://schemas.microsoft.com/office/drawing/2014/main" id="{00000000-0008-0000-01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626</xdr:row>
      <xdr:rowOff>9525</xdr:rowOff>
    </xdr:from>
    <xdr:ext cx="571500" cy="571500"/>
    <xdr:pic>
      <xdr:nvPicPr>
        <xdr:cNvPr id="909" name="/xl/media/image145.png">
          <a:extLst>
            <a:ext uri="{FF2B5EF4-FFF2-40B4-BE49-F238E27FC236}">
              <a16:creationId xmlns:a16="http://schemas.microsoft.com/office/drawing/2014/main" id="{00000000-0008-0000-01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626</xdr:row>
      <xdr:rowOff>9525</xdr:rowOff>
    </xdr:from>
    <xdr:ext cx="571500" cy="571500"/>
    <xdr:pic>
      <xdr:nvPicPr>
        <xdr:cNvPr id="910" name="/xl/media/image146.png">
          <a:extLst>
            <a:ext uri="{FF2B5EF4-FFF2-40B4-BE49-F238E27FC236}">
              <a16:creationId xmlns:a16="http://schemas.microsoft.com/office/drawing/2014/main" id="{00000000-0008-0000-01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626</xdr:row>
      <xdr:rowOff>9525</xdr:rowOff>
    </xdr:from>
    <xdr:ext cx="571500" cy="571500"/>
    <xdr:pic>
      <xdr:nvPicPr>
        <xdr:cNvPr id="911" name="/xl/media/image147.png">
          <a:extLst>
            <a:ext uri="{FF2B5EF4-FFF2-40B4-BE49-F238E27FC236}">
              <a16:creationId xmlns:a16="http://schemas.microsoft.com/office/drawing/2014/main" id="{00000000-0008-0000-01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628</xdr:row>
      <xdr:rowOff>9525</xdr:rowOff>
    </xdr:from>
    <xdr:ext cx="571500" cy="571500"/>
    <xdr:pic>
      <xdr:nvPicPr>
        <xdr:cNvPr id="912" name="/xl/media/image148.png">
          <a:extLst>
            <a:ext uri="{FF2B5EF4-FFF2-40B4-BE49-F238E27FC236}">
              <a16:creationId xmlns:a16="http://schemas.microsoft.com/office/drawing/2014/main" id="{00000000-0008-0000-01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631</xdr:row>
      <xdr:rowOff>428625</xdr:rowOff>
    </xdr:from>
    <xdr:ext cx="1438275" cy="1438275"/>
    <xdr:pic>
      <xdr:nvPicPr>
        <xdr:cNvPr id="913" name="/xl/media/image130.png">
          <a:extLst>
            <a:ext uri="{FF2B5EF4-FFF2-40B4-BE49-F238E27FC236}">
              <a16:creationId xmlns:a16="http://schemas.microsoft.com/office/drawing/2014/main" id="{00000000-0008-0000-01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632</xdr:row>
      <xdr:rowOff>19050</xdr:rowOff>
    </xdr:from>
    <xdr:ext cx="647700" cy="647700"/>
    <xdr:pic>
      <xdr:nvPicPr>
        <xdr:cNvPr id="914" name="/xl/media/image150.png">
          <a:extLst>
            <a:ext uri="{FF2B5EF4-FFF2-40B4-BE49-F238E27FC236}">
              <a16:creationId xmlns:a16="http://schemas.microsoft.com/office/drawing/2014/main" id="{00000000-0008-0000-01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633</xdr:row>
      <xdr:rowOff>9525</xdr:rowOff>
    </xdr:from>
    <xdr:ext cx="571500" cy="571500"/>
    <xdr:pic>
      <xdr:nvPicPr>
        <xdr:cNvPr id="915" name="/xl/media/image145.png">
          <a:extLst>
            <a:ext uri="{FF2B5EF4-FFF2-40B4-BE49-F238E27FC236}">
              <a16:creationId xmlns:a16="http://schemas.microsoft.com/office/drawing/2014/main" id="{00000000-0008-0000-01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633</xdr:row>
      <xdr:rowOff>9525</xdr:rowOff>
    </xdr:from>
    <xdr:ext cx="571500" cy="571500"/>
    <xdr:pic>
      <xdr:nvPicPr>
        <xdr:cNvPr id="916" name="/xl/media/image146.png">
          <a:extLst>
            <a:ext uri="{FF2B5EF4-FFF2-40B4-BE49-F238E27FC236}">
              <a16:creationId xmlns:a16="http://schemas.microsoft.com/office/drawing/2014/main" id="{00000000-0008-0000-01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633</xdr:row>
      <xdr:rowOff>9525</xdr:rowOff>
    </xdr:from>
    <xdr:ext cx="571500" cy="571500"/>
    <xdr:pic>
      <xdr:nvPicPr>
        <xdr:cNvPr id="917" name="/xl/media/image147.png">
          <a:extLst>
            <a:ext uri="{FF2B5EF4-FFF2-40B4-BE49-F238E27FC236}">
              <a16:creationId xmlns:a16="http://schemas.microsoft.com/office/drawing/2014/main" id="{00000000-0008-0000-01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635</xdr:row>
      <xdr:rowOff>9525</xdr:rowOff>
    </xdr:from>
    <xdr:ext cx="571500" cy="571500"/>
    <xdr:pic>
      <xdr:nvPicPr>
        <xdr:cNvPr id="918" name="/xl/media/image148.png">
          <a:extLst>
            <a:ext uri="{FF2B5EF4-FFF2-40B4-BE49-F238E27FC236}">
              <a16:creationId xmlns:a16="http://schemas.microsoft.com/office/drawing/2014/main" id="{00000000-0008-0000-01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633</xdr:row>
      <xdr:rowOff>9525</xdr:rowOff>
    </xdr:from>
    <xdr:ext cx="571500" cy="571500"/>
    <xdr:pic>
      <xdr:nvPicPr>
        <xdr:cNvPr id="919" name="/xl/media/image145.png">
          <a:extLst>
            <a:ext uri="{FF2B5EF4-FFF2-40B4-BE49-F238E27FC236}">
              <a16:creationId xmlns:a16="http://schemas.microsoft.com/office/drawing/2014/main" id="{00000000-0008-0000-01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633</xdr:row>
      <xdr:rowOff>9525</xdr:rowOff>
    </xdr:from>
    <xdr:ext cx="571500" cy="571500"/>
    <xdr:pic>
      <xdr:nvPicPr>
        <xdr:cNvPr id="920" name="/xl/media/image146.png">
          <a:extLst>
            <a:ext uri="{FF2B5EF4-FFF2-40B4-BE49-F238E27FC236}">
              <a16:creationId xmlns:a16="http://schemas.microsoft.com/office/drawing/2014/main" id="{00000000-0008-0000-01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633</xdr:row>
      <xdr:rowOff>9525</xdr:rowOff>
    </xdr:from>
    <xdr:ext cx="571500" cy="571500"/>
    <xdr:pic>
      <xdr:nvPicPr>
        <xdr:cNvPr id="921" name="/xl/media/image147.png">
          <a:extLst>
            <a:ext uri="{FF2B5EF4-FFF2-40B4-BE49-F238E27FC236}">
              <a16:creationId xmlns:a16="http://schemas.microsoft.com/office/drawing/2014/main" id="{00000000-0008-0000-01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635</xdr:row>
      <xdr:rowOff>9525</xdr:rowOff>
    </xdr:from>
    <xdr:ext cx="571500" cy="571500"/>
    <xdr:pic>
      <xdr:nvPicPr>
        <xdr:cNvPr id="922" name="/xl/media/image148.png">
          <a:extLst>
            <a:ext uri="{FF2B5EF4-FFF2-40B4-BE49-F238E27FC236}">
              <a16:creationId xmlns:a16="http://schemas.microsoft.com/office/drawing/2014/main" id="{00000000-0008-0000-01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638</xdr:row>
      <xdr:rowOff>428625</xdr:rowOff>
    </xdr:from>
    <xdr:ext cx="1438275" cy="1438275"/>
    <xdr:pic>
      <xdr:nvPicPr>
        <xdr:cNvPr id="923" name="/xl/media/image129.png">
          <a:extLst>
            <a:ext uri="{FF2B5EF4-FFF2-40B4-BE49-F238E27FC236}">
              <a16:creationId xmlns:a16="http://schemas.microsoft.com/office/drawing/2014/main" id="{00000000-0008-0000-01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639</xdr:row>
      <xdr:rowOff>19050</xdr:rowOff>
    </xdr:from>
    <xdr:ext cx="647700" cy="647700"/>
    <xdr:pic>
      <xdr:nvPicPr>
        <xdr:cNvPr id="924" name="/xl/media/image150.png">
          <a:extLst>
            <a:ext uri="{FF2B5EF4-FFF2-40B4-BE49-F238E27FC236}">
              <a16:creationId xmlns:a16="http://schemas.microsoft.com/office/drawing/2014/main" id="{00000000-0008-0000-01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640</xdr:row>
      <xdr:rowOff>9525</xdr:rowOff>
    </xdr:from>
    <xdr:ext cx="571500" cy="571500"/>
    <xdr:pic>
      <xdr:nvPicPr>
        <xdr:cNvPr id="925" name="/xl/media/image145.png">
          <a:extLst>
            <a:ext uri="{FF2B5EF4-FFF2-40B4-BE49-F238E27FC236}">
              <a16:creationId xmlns:a16="http://schemas.microsoft.com/office/drawing/2014/main" id="{00000000-0008-0000-01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640</xdr:row>
      <xdr:rowOff>9525</xdr:rowOff>
    </xdr:from>
    <xdr:ext cx="571500" cy="571500"/>
    <xdr:pic>
      <xdr:nvPicPr>
        <xdr:cNvPr id="926" name="/xl/media/image146.png">
          <a:extLst>
            <a:ext uri="{FF2B5EF4-FFF2-40B4-BE49-F238E27FC236}">
              <a16:creationId xmlns:a16="http://schemas.microsoft.com/office/drawing/2014/main" id="{00000000-0008-0000-01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640</xdr:row>
      <xdr:rowOff>9525</xdr:rowOff>
    </xdr:from>
    <xdr:ext cx="571500" cy="571500"/>
    <xdr:pic>
      <xdr:nvPicPr>
        <xdr:cNvPr id="927" name="/xl/media/image147.png">
          <a:extLst>
            <a:ext uri="{FF2B5EF4-FFF2-40B4-BE49-F238E27FC236}">
              <a16:creationId xmlns:a16="http://schemas.microsoft.com/office/drawing/2014/main" id="{00000000-0008-0000-01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642</xdr:row>
      <xdr:rowOff>9525</xdr:rowOff>
    </xdr:from>
    <xdr:ext cx="571500" cy="571500"/>
    <xdr:pic>
      <xdr:nvPicPr>
        <xdr:cNvPr id="928" name="/xl/media/image148.png">
          <a:extLst>
            <a:ext uri="{FF2B5EF4-FFF2-40B4-BE49-F238E27FC236}">
              <a16:creationId xmlns:a16="http://schemas.microsoft.com/office/drawing/2014/main" id="{00000000-0008-0000-01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640</xdr:row>
      <xdr:rowOff>9525</xdr:rowOff>
    </xdr:from>
    <xdr:ext cx="571500" cy="571500"/>
    <xdr:pic>
      <xdr:nvPicPr>
        <xdr:cNvPr id="929" name="/xl/media/image145.png">
          <a:extLst>
            <a:ext uri="{FF2B5EF4-FFF2-40B4-BE49-F238E27FC236}">
              <a16:creationId xmlns:a16="http://schemas.microsoft.com/office/drawing/2014/main" id="{00000000-0008-0000-01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640</xdr:row>
      <xdr:rowOff>9525</xdr:rowOff>
    </xdr:from>
    <xdr:ext cx="571500" cy="571500"/>
    <xdr:pic>
      <xdr:nvPicPr>
        <xdr:cNvPr id="930" name="/xl/media/image146.png">
          <a:extLst>
            <a:ext uri="{FF2B5EF4-FFF2-40B4-BE49-F238E27FC236}">
              <a16:creationId xmlns:a16="http://schemas.microsoft.com/office/drawing/2014/main" id="{00000000-0008-0000-01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640</xdr:row>
      <xdr:rowOff>9525</xdr:rowOff>
    </xdr:from>
    <xdr:ext cx="571500" cy="571500"/>
    <xdr:pic>
      <xdr:nvPicPr>
        <xdr:cNvPr id="931" name="/xl/media/image147.png">
          <a:extLst>
            <a:ext uri="{FF2B5EF4-FFF2-40B4-BE49-F238E27FC236}">
              <a16:creationId xmlns:a16="http://schemas.microsoft.com/office/drawing/2014/main" id="{00000000-0008-0000-01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642</xdr:row>
      <xdr:rowOff>9525</xdr:rowOff>
    </xdr:from>
    <xdr:ext cx="571500" cy="571500"/>
    <xdr:pic>
      <xdr:nvPicPr>
        <xdr:cNvPr id="932" name="/xl/media/image148.png">
          <a:extLst>
            <a:ext uri="{FF2B5EF4-FFF2-40B4-BE49-F238E27FC236}">
              <a16:creationId xmlns:a16="http://schemas.microsoft.com/office/drawing/2014/main" id="{00000000-0008-0000-01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645</xdr:row>
      <xdr:rowOff>428625</xdr:rowOff>
    </xdr:from>
    <xdr:ext cx="1438275" cy="1438275"/>
    <xdr:pic>
      <xdr:nvPicPr>
        <xdr:cNvPr id="933" name="/xl/media/image132.png">
          <a:extLst>
            <a:ext uri="{FF2B5EF4-FFF2-40B4-BE49-F238E27FC236}">
              <a16:creationId xmlns:a16="http://schemas.microsoft.com/office/drawing/2014/main" id="{00000000-0008-0000-01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646</xdr:row>
      <xdr:rowOff>19050</xdr:rowOff>
    </xdr:from>
    <xdr:ext cx="647700" cy="647700"/>
    <xdr:pic>
      <xdr:nvPicPr>
        <xdr:cNvPr id="934" name="/xl/media/image151.png">
          <a:extLst>
            <a:ext uri="{FF2B5EF4-FFF2-40B4-BE49-F238E27FC236}">
              <a16:creationId xmlns:a16="http://schemas.microsoft.com/office/drawing/2014/main" id="{00000000-0008-0000-01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647</xdr:row>
      <xdr:rowOff>9525</xdr:rowOff>
    </xdr:from>
    <xdr:ext cx="571500" cy="571500"/>
    <xdr:pic>
      <xdr:nvPicPr>
        <xdr:cNvPr id="935" name="/xl/media/image145.png">
          <a:extLst>
            <a:ext uri="{FF2B5EF4-FFF2-40B4-BE49-F238E27FC236}">
              <a16:creationId xmlns:a16="http://schemas.microsoft.com/office/drawing/2014/main" id="{00000000-0008-0000-01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647</xdr:row>
      <xdr:rowOff>9525</xdr:rowOff>
    </xdr:from>
    <xdr:ext cx="571500" cy="571500"/>
    <xdr:pic>
      <xdr:nvPicPr>
        <xdr:cNvPr id="936" name="/xl/media/image146.png">
          <a:extLst>
            <a:ext uri="{FF2B5EF4-FFF2-40B4-BE49-F238E27FC236}">
              <a16:creationId xmlns:a16="http://schemas.microsoft.com/office/drawing/2014/main" id="{00000000-0008-0000-01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647</xdr:row>
      <xdr:rowOff>9525</xdr:rowOff>
    </xdr:from>
    <xdr:ext cx="571500" cy="571500"/>
    <xdr:pic>
      <xdr:nvPicPr>
        <xdr:cNvPr id="937" name="/xl/media/image147.png">
          <a:extLst>
            <a:ext uri="{FF2B5EF4-FFF2-40B4-BE49-F238E27FC236}">
              <a16:creationId xmlns:a16="http://schemas.microsoft.com/office/drawing/2014/main" id="{00000000-0008-0000-01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647</xdr:row>
      <xdr:rowOff>9525</xdr:rowOff>
    </xdr:from>
    <xdr:ext cx="571500" cy="571500"/>
    <xdr:pic>
      <xdr:nvPicPr>
        <xdr:cNvPr id="938" name="/xl/media/image145.png">
          <a:extLst>
            <a:ext uri="{FF2B5EF4-FFF2-40B4-BE49-F238E27FC236}">
              <a16:creationId xmlns:a16="http://schemas.microsoft.com/office/drawing/2014/main" id="{00000000-0008-0000-01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647</xdr:row>
      <xdr:rowOff>9525</xdr:rowOff>
    </xdr:from>
    <xdr:ext cx="571500" cy="571500"/>
    <xdr:pic>
      <xdr:nvPicPr>
        <xdr:cNvPr id="939" name="/xl/media/image146.png">
          <a:extLst>
            <a:ext uri="{FF2B5EF4-FFF2-40B4-BE49-F238E27FC236}">
              <a16:creationId xmlns:a16="http://schemas.microsoft.com/office/drawing/2014/main" id="{00000000-0008-0000-01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647</xdr:row>
      <xdr:rowOff>9525</xdr:rowOff>
    </xdr:from>
    <xdr:ext cx="571500" cy="571500"/>
    <xdr:pic>
      <xdr:nvPicPr>
        <xdr:cNvPr id="940" name="/xl/media/image147.png">
          <a:extLst>
            <a:ext uri="{FF2B5EF4-FFF2-40B4-BE49-F238E27FC236}">
              <a16:creationId xmlns:a16="http://schemas.microsoft.com/office/drawing/2014/main" id="{00000000-0008-0000-01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652</xdr:row>
      <xdr:rowOff>428625</xdr:rowOff>
    </xdr:from>
    <xdr:ext cx="1438275" cy="1438275"/>
    <xdr:pic>
      <xdr:nvPicPr>
        <xdr:cNvPr id="941" name="/xl/media/image131.png">
          <a:extLst>
            <a:ext uri="{FF2B5EF4-FFF2-40B4-BE49-F238E27FC236}">
              <a16:creationId xmlns:a16="http://schemas.microsoft.com/office/drawing/2014/main" id="{00000000-0008-0000-01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653</xdr:row>
      <xdr:rowOff>19050</xdr:rowOff>
    </xdr:from>
    <xdr:ext cx="647700" cy="647700"/>
    <xdr:pic>
      <xdr:nvPicPr>
        <xdr:cNvPr id="942" name="/xl/media/image152.png">
          <a:extLst>
            <a:ext uri="{FF2B5EF4-FFF2-40B4-BE49-F238E27FC236}">
              <a16:creationId xmlns:a16="http://schemas.microsoft.com/office/drawing/2014/main" id="{00000000-0008-0000-01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654</xdr:row>
      <xdr:rowOff>9525</xdr:rowOff>
    </xdr:from>
    <xdr:ext cx="571500" cy="571500"/>
    <xdr:pic>
      <xdr:nvPicPr>
        <xdr:cNvPr id="943" name="/xl/media/image145.png">
          <a:extLst>
            <a:ext uri="{FF2B5EF4-FFF2-40B4-BE49-F238E27FC236}">
              <a16:creationId xmlns:a16="http://schemas.microsoft.com/office/drawing/2014/main" id="{00000000-0008-0000-01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654</xdr:row>
      <xdr:rowOff>9525</xdr:rowOff>
    </xdr:from>
    <xdr:ext cx="571500" cy="571500"/>
    <xdr:pic>
      <xdr:nvPicPr>
        <xdr:cNvPr id="944" name="/xl/media/image146.png">
          <a:extLst>
            <a:ext uri="{FF2B5EF4-FFF2-40B4-BE49-F238E27FC236}">
              <a16:creationId xmlns:a16="http://schemas.microsoft.com/office/drawing/2014/main" id="{00000000-0008-0000-01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654</xdr:row>
      <xdr:rowOff>9525</xdr:rowOff>
    </xdr:from>
    <xdr:ext cx="571500" cy="571500"/>
    <xdr:pic>
      <xdr:nvPicPr>
        <xdr:cNvPr id="945" name="/xl/media/image147.png">
          <a:extLst>
            <a:ext uri="{FF2B5EF4-FFF2-40B4-BE49-F238E27FC236}">
              <a16:creationId xmlns:a16="http://schemas.microsoft.com/office/drawing/2014/main" id="{00000000-0008-0000-01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656</xdr:row>
      <xdr:rowOff>9525</xdr:rowOff>
    </xdr:from>
    <xdr:ext cx="571500" cy="571500"/>
    <xdr:pic>
      <xdr:nvPicPr>
        <xdr:cNvPr id="946" name="/xl/media/image148.png">
          <a:extLst>
            <a:ext uri="{FF2B5EF4-FFF2-40B4-BE49-F238E27FC236}">
              <a16:creationId xmlns:a16="http://schemas.microsoft.com/office/drawing/2014/main" id="{00000000-0008-0000-01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654</xdr:row>
      <xdr:rowOff>9525</xdr:rowOff>
    </xdr:from>
    <xdr:ext cx="571500" cy="571500"/>
    <xdr:pic>
      <xdr:nvPicPr>
        <xdr:cNvPr id="947" name="/xl/media/image145.png">
          <a:extLst>
            <a:ext uri="{FF2B5EF4-FFF2-40B4-BE49-F238E27FC236}">
              <a16:creationId xmlns:a16="http://schemas.microsoft.com/office/drawing/2014/main" id="{00000000-0008-0000-01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654</xdr:row>
      <xdr:rowOff>9525</xdr:rowOff>
    </xdr:from>
    <xdr:ext cx="571500" cy="571500"/>
    <xdr:pic>
      <xdr:nvPicPr>
        <xdr:cNvPr id="948" name="/xl/media/image146.png">
          <a:extLst>
            <a:ext uri="{FF2B5EF4-FFF2-40B4-BE49-F238E27FC236}">
              <a16:creationId xmlns:a16="http://schemas.microsoft.com/office/drawing/2014/main" id="{00000000-0008-0000-01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654</xdr:row>
      <xdr:rowOff>9525</xdr:rowOff>
    </xdr:from>
    <xdr:ext cx="571500" cy="571500"/>
    <xdr:pic>
      <xdr:nvPicPr>
        <xdr:cNvPr id="949" name="/xl/media/image147.png">
          <a:extLst>
            <a:ext uri="{FF2B5EF4-FFF2-40B4-BE49-F238E27FC236}">
              <a16:creationId xmlns:a16="http://schemas.microsoft.com/office/drawing/2014/main" id="{00000000-0008-0000-01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656</xdr:row>
      <xdr:rowOff>9525</xdr:rowOff>
    </xdr:from>
    <xdr:ext cx="571500" cy="571500"/>
    <xdr:pic>
      <xdr:nvPicPr>
        <xdr:cNvPr id="950" name="/xl/media/image148.png">
          <a:extLst>
            <a:ext uri="{FF2B5EF4-FFF2-40B4-BE49-F238E27FC236}">
              <a16:creationId xmlns:a16="http://schemas.microsoft.com/office/drawing/2014/main" id="{00000000-0008-0000-01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659</xdr:row>
      <xdr:rowOff>428625</xdr:rowOff>
    </xdr:from>
    <xdr:ext cx="1438275" cy="1438275"/>
    <xdr:pic>
      <xdr:nvPicPr>
        <xdr:cNvPr id="951" name="/xl/media/image137.png">
          <a:extLst>
            <a:ext uri="{FF2B5EF4-FFF2-40B4-BE49-F238E27FC236}">
              <a16:creationId xmlns:a16="http://schemas.microsoft.com/office/drawing/2014/main" id="{00000000-0008-0000-01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660</xdr:row>
      <xdr:rowOff>19050</xdr:rowOff>
    </xdr:from>
    <xdr:ext cx="647700" cy="647700"/>
    <xdr:pic>
      <xdr:nvPicPr>
        <xdr:cNvPr id="952" name="/xl/media/image151.png">
          <a:extLst>
            <a:ext uri="{FF2B5EF4-FFF2-40B4-BE49-F238E27FC236}">
              <a16:creationId xmlns:a16="http://schemas.microsoft.com/office/drawing/2014/main" id="{00000000-0008-0000-01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661</xdr:row>
      <xdr:rowOff>9525</xdr:rowOff>
    </xdr:from>
    <xdr:ext cx="571500" cy="571500"/>
    <xdr:pic>
      <xdr:nvPicPr>
        <xdr:cNvPr id="953" name="/xl/media/image145.png">
          <a:extLst>
            <a:ext uri="{FF2B5EF4-FFF2-40B4-BE49-F238E27FC236}">
              <a16:creationId xmlns:a16="http://schemas.microsoft.com/office/drawing/2014/main" id="{00000000-0008-0000-01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661</xdr:row>
      <xdr:rowOff>9525</xdr:rowOff>
    </xdr:from>
    <xdr:ext cx="571500" cy="571500"/>
    <xdr:pic>
      <xdr:nvPicPr>
        <xdr:cNvPr id="954" name="/xl/media/image146.png">
          <a:extLst>
            <a:ext uri="{FF2B5EF4-FFF2-40B4-BE49-F238E27FC236}">
              <a16:creationId xmlns:a16="http://schemas.microsoft.com/office/drawing/2014/main" id="{00000000-0008-0000-01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661</xdr:row>
      <xdr:rowOff>9525</xdr:rowOff>
    </xdr:from>
    <xdr:ext cx="571500" cy="571500"/>
    <xdr:pic>
      <xdr:nvPicPr>
        <xdr:cNvPr id="955" name="/xl/media/image147.png">
          <a:extLst>
            <a:ext uri="{FF2B5EF4-FFF2-40B4-BE49-F238E27FC236}">
              <a16:creationId xmlns:a16="http://schemas.microsoft.com/office/drawing/2014/main" id="{00000000-0008-0000-01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661</xdr:row>
      <xdr:rowOff>9525</xdr:rowOff>
    </xdr:from>
    <xdr:ext cx="571500" cy="571500"/>
    <xdr:pic>
      <xdr:nvPicPr>
        <xdr:cNvPr id="956" name="/xl/media/image145.png">
          <a:extLst>
            <a:ext uri="{FF2B5EF4-FFF2-40B4-BE49-F238E27FC236}">
              <a16:creationId xmlns:a16="http://schemas.microsoft.com/office/drawing/2014/main" id="{00000000-0008-0000-01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661</xdr:row>
      <xdr:rowOff>9525</xdr:rowOff>
    </xdr:from>
    <xdr:ext cx="571500" cy="571500"/>
    <xdr:pic>
      <xdr:nvPicPr>
        <xdr:cNvPr id="957" name="/xl/media/image146.png">
          <a:extLst>
            <a:ext uri="{FF2B5EF4-FFF2-40B4-BE49-F238E27FC236}">
              <a16:creationId xmlns:a16="http://schemas.microsoft.com/office/drawing/2014/main" id="{00000000-0008-0000-01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661</xdr:row>
      <xdr:rowOff>9525</xdr:rowOff>
    </xdr:from>
    <xdr:ext cx="571500" cy="571500"/>
    <xdr:pic>
      <xdr:nvPicPr>
        <xdr:cNvPr id="958" name="/xl/media/image147.png">
          <a:extLst>
            <a:ext uri="{FF2B5EF4-FFF2-40B4-BE49-F238E27FC236}">
              <a16:creationId xmlns:a16="http://schemas.microsoft.com/office/drawing/2014/main" id="{00000000-0008-0000-01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666</xdr:row>
      <xdr:rowOff>428625</xdr:rowOff>
    </xdr:from>
    <xdr:ext cx="1438275" cy="1438275"/>
    <xdr:pic>
      <xdr:nvPicPr>
        <xdr:cNvPr id="959" name="/xl/media/image136.png">
          <a:extLst>
            <a:ext uri="{FF2B5EF4-FFF2-40B4-BE49-F238E27FC236}">
              <a16:creationId xmlns:a16="http://schemas.microsoft.com/office/drawing/2014/main" id="{00000000-0008-0000-01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667</xdr:row>
      <xdr:rowOff>19050</xdr:rowOff>
    </xdr:from>
    <xdr:ext cx="647700" cy="647700"/>
    <xdr:pic>
      <xdr:nvPicPr>
        <xdr:cNvPr id="960" name="/xl/media/image153.png">
          <a:extLst>
            <a:ext uri="{FF2B5EF4-FFF2-40B4-BE49-F238E27FC236}">
              <a16:creationId xmlns:a16="http://schemas.microsoft.com/office/drawing/2014/main" id="{00000000-0008-0000-01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668</xdr:row>
      <xdr:rowOff>9525</xdr:rowOff>
    </xdr:from>
    <xdr:ext cx="571500" cy="571500"/>
    <xdr:pic>
      <xdr:nvPicPr>
        <xdr:cNvPr id="961" name="/xl/media/image145.png">
          <a:extLst>
            <a:ext uri="{FF2B5EF4-FFF2-40B4-BE49-F238E27FC236}">
              <a16:creationId xmlns:a16="http://schemas.microsoft.com/office/drawing/2014/main" id="{00000000-0008-0000-01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668</xdr:row>
      <xdr:rowOff>9525</xdr:rowOff>
    </xdr:from>
    <xdr:ext cx="571500" cy="571500"/>
    <xdr:pic>
      <xdr:nvPicPr>
        <xdr:cNvPr id="962" name="/xl/media/image146.png">
          <a:extLst>
            <a:ext uri="{FF2B5EF4-FFF2-40B4-BE49-F238E27FC236}">
              <a16:creationId xmlns:a16="http://schemas.microsoft.com/office/drawing/2014/main" id="{00000000-0008-0000-01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668</xdr:row>
      <xdr:rowOff>9525</xdr:rowOff>
    </xdr:from>
    <xdr:ext cx="571500" cy="571500"/>
    <xdr:pic>
      <xdr:nvPicPr>
        <xdr:cNvPr id="963" name="/xl/media/image147.png">
          <a:extLst>
            <a:ext uri="{FF2B5EF4-FFF2-40B4-BE49-F238E27FC236}">
              <a16:creationId xmlns:a16="http://schemas.microsoft.com/office/drawing/2014/main" id="{00000000-0008-0000-01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668</xdr:row>
      <xdr:rowOff>9525</xdr:rowOff>
    </xdr:from>
    <xdr:ext cx="571500" cy="571500"/>
    <xdr:pic>
      <xdr:nvPicPr>
        <xdr:cNvPr id="964" name="/xl/media/image145.png">
          <a:extLst>
            <a:ext uri="{FF2B5EF4-FFF2-40B4-BE49-F238E27FC236}">
              <a16:creationId xmlns:a16="http://schemas.microsoft.com/office/drawing/2014/main" id="{00000000-0008-0000-01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668</xdr:row>
      <xdr:rowOff>9525</xdr:rowOff>
    </xdr:from>
    <xdr:ext cx="571500" cy="571500"/>
    <xdr:pic>
      <xdr:nvPicPr>
        <xdr:cNvPr id="965" name="/xl/media/image146.png">
          <a:extLst>
            <a:ext uri="{FF2B5EF4-FFF2-40B4-BE49-F238E27FC236}">
              <a16:creationId xmlns:a16="http://schemas.microsoft.com/office/drawing/2014/main" id="{00000000-0008-0000-01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668</xdr:row>
      <xdr:rowOff>9525</xdr:rowOff>
    </xdr:from>
    <xdr:ext cx="571500" cy="571500"/>
    <xdr:pic>
      <xdr:nvPicPr>
        <xdr:cNvPr id="966" name="/xl/media/image147.png">
          <a:extLst>
            <a:ext uri="{FF2B5EF4-FFF2-40B4-BE49-F238E27FC236}">
              <a16:creationId xmlns:a16="http://schemas.microsoft.com/office/drawing/2014/main" id="{00000000-0008-0000-01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673</xdr:row>
      <xdr:rowOff>428625</xdr:rowOff>
    </xdr:from>
    <xdr:ext cx="1438275" cy="1438275"/>
    <xdr:pic>
      <xdr:nvPicPr>
        <xdr:cNvPr id="967" name="/xl/media/image134.png">
          <a:extLst>
            <a:ext uri="{FF2B5EF4-FFF2-40B4-BE49-F238E27FC236}">
              <a16:creationId xmlns:a16="http://schemas.microsoft.com/office/drawing/2014/main" id="{00000000-0008-0000-01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674</xdr:row>
      <xdr:rowOff>19050</xdr:rowOff>
    </xdr:from>
    <xdr:ext cx="647700" cy="647700"/>
    <xdr:pic>
      <xdr:nvPicPr>
        <xdr:cNvPr id="968" name="/xl/media/image154.png">
          <a:extLst>
            <a:ext uri="{FF2B5EF4-FFF2-40B4-BE49-F238E27FC236}">
              <a16:creationId xmlns:a16="http://schemas.microsoft.com/office/drawing/2014/main" id="{00000000-0008-0000-01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675</xdr:row>
      <xdr:rowOff>9525</xdr:rowOff>
    </xdr:from>
    <xdr:ext cx="571500" cy="571500"/>
    <xdr:pic>
      <xdr:nvPicPr>
        <xdr:cNvPr id="969" name="/xl/media/image145.png">
          <a:extLst>
            <a:ext uri="{FF2B5EF4-FFF2-40B4-BE49-F238E27FC236}">
              <a16:creationId xmlns:a16="http://schemas.microsoft.com/office/drawing/2014/main" id="{00000000-0008-0000-01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675</xdr:row>
      <xdr:rowOff>9525</xdr:rowOff>
    </xdr:from>
    <xdr:ext cx="571500" cy="571500"/>
    <xdr:pic>
      <xdr:nvPicPr>
        <xdr:cNvPr id="970" name="/xl/media/image147.png">
          <a:extLst>
            <a:ext uri="{FF2B5EF4-FFF2-40B4-BE49-F238E27FC236}">
              <a16:creationId xmlns:a16="http://schemas.microsoft.com/office/drawing/2014/main" id="{00000000-0008-0000-01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675</xdr:row>
      <xdr:rowOff>9525</xdr:rowOff>
    </xdr:from>
    <xdr:ext cx="571500" cy="571500"/>
    <xdr:pic>
      <xdr:nvPicPr>
        <xdr:cNvPr id="971" name="/xl/media/image148.png">
          <a:extLst>
            <a:ext uri="{FF2B5EF4-FFF2-40B4-BE49-F238E27FC236}">
              <a16:creationId xmlns:a16="http://schemas.microsoft.com/office/drawing/2014/main" id="{00000000-0008-0000-01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675</xdr:row>
      <xdr:rowOff>9525</xdr:rowOff>
    </xdr:from>
    <xdr:ext cx="571500" cy="571500"/>
    <xdr:pic>
      <xdr:nvPicPr>
        <xdr:cNvPr id="972" name="/xl/media/image147.png">
          <a:extLst>
            <a:ext uri="{FF2B5EF4-FFF2-40B4-BE49-F238E27FC236}">
              <a16:creationId xmlns:a16="http://schemas.microsoft.com/office/drawing/2014/main" id="{00000000-0008-0000-01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675</xdr:row>
      <xdr:rowOff>9525</xdr:rowOff>
    </xdr:from>
    <xdr:ext cx="571500" cy="571500"/>
    <xdr:pic>
      <xdr:nvPicPr>
        <xdr:cNvPr id="973" name="/xl/media/image145.png">
          <a:extLst>
            <a:ext uri="{FF2B5EF4-FFF2-40B4-BE49-F238E27FC236}">
              <a16:creationId xmlns:a16="http://schemas.microsoft.com/office/drawing/2014/main" id="{00000000-0008-0000-01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675</xdr:row>
      <xdr:rowOff>9525</xdr:rowOff>
    </xdr:from>
    <xdr:ext cx="571500" cy="571500"/>
    <xdr:pic>
      <xdr:nvPicPr>
        <xdr:cNvPr id="974" name="/xl/media/image148.png">
          <a:extLst>
            <a:ext uri="{FF2B5EF4-FFF2-40B4-BE49-F238E27FC236}">
              <a16:creationId xmlns:a16="http://schemas.microsoft.com/office/drawing/2014/main" id="{00000000-0008-0000-01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680</xdr:row>
      <xdr:rowOff>428625</xdr:rowOff>
    </xdr:from>
    <xdr:ext cx="1438275" cy="1438275"/>
    <xdr:pic>
      <xdr:nvPicPr>
        <xdr:cNvPr id="975" name="/xl/media/image135.png">
          <a:extLst>
            <a:ext uri="{FF2B5EF4-FFF2-40B4-BE49-F238E27FC236}">
              <a16:creationId xmlns:a16="http://schemas.microsoft.com/office/drawing/2014/main" id="{00000000-0008-0000-01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681</xdr:row>
      <xdr:rowOff>19050</xdr:rowOff>
    </xdr:from>
    <xdr:ext cx="647700" cy="647700"/>
    <xdr:pic>
      <xdr:nvPicPr>
        <xdr:cNvPr id="976" name="/xl/media/image155.png">
          <a:extLst>
            <a:ext uri="{FF2B5EF4-FFF2-40B4-BE49-F238E27FC236}">
              <a16:creationId xmlns:a16="http://schemas.microsoft.com/office/drawing/2014/main" id="{00000000-0008-0000-01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682</xdr:row>
      <xdr:rowOff>9525</xdr:rowOff>
    </xdr:from>
    <xdr:ext cx="571500" cy="571500"/>
    <xdr:pic>
      <xdr:nvPicPr>
        <xdr:cNvPr id="977" name="/xl/media/image145.png">
          <a:extLst>
            <a:ext uri="{FF2B5EF4-FFF2-40B4-BE49-F238E27FC236}">
              <a16:creationId xmlns:a16="http://schemas.microsoft.com/office/drawing/2014/main" id="{00000000-0008-0000-01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682</xdr:row>
      <xdr:rowOff>9525</xdr:rowOff>
    </xdr:from>
    <xdr:ext cx="571500" cy="571500"/>
    <xdr:pic>
      <xdr:nvPicPr>
        <xdr:cNvPr id="978" name="/xl/media/image147.png">
          <a:extLst>
            <a:ext uri="{FF2B5EF4-FFF2-40B4-BE49-F238E27FC236}">
              <a16:creationId xmlns:a16="http://schemas.microsoft.com/office/drawing/2014/main" id="{00000000-0008-0000-01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682</xdr:row>
      <xdr:rowOff>9525</xdr:rowOff>
    </xdr:from>
    <xdr:ext cx="571500" cy="571500"/>
    <xdr:pic>
      <xdr:nvPicPr>
        <xdr:cNvPr id="979" name="/xl/media/image148.png">
          <a:extLst>
            <a:ext uri="{FF2B5EF4-FFF2-40B4-BE49-F238E27FC236}">
              <a16:creationId xmlns:a16="http://schemas.microsoft.com/office/drawing/2014/main" id="{00000000-0008-0000-01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682</xdr:row>
      <xdr:rowOff>9525</xdr:rowOff>
    </xdr:from>
    <xdr:ext cx="571500" cy="571500"/>
    <xdr:pic>
      <xdr:nvPicPr>
        <xdr:cNvPr id="980" name="/xl/media/image147.png">
          <a:extLst>
            <a:ext uri="{FF2B5EF4-FFF2-40B4-BE49-F238E27FC236}">
              <a16:creationId xmlns:a16="http://schemas.microsoft.com/office/drawing/2014/main" id="{00000000-0008-0000-01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682</xdr:row>
      <xdr:rowOff>9525</xdr:rowOff>
    </xdr:from>
    <xdr:ext cx="571500" cy="571500"/>
    <xdr:pic>
      <xdr:nvPicPr>
        <xdr:cNvPr id="981" name="/xl/media/image145.png">
          <a:extLst>
            <a:ext uri="{FF2B5EF4-FFF2-40B4-BE49-F238E27FC236}">
              <a16:creationId xmlns:a16="http://schemas.microsoft.com/office/drawing/2014/main" id="{00000000-0008-0000-01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682</xdr:row>
      <xdr:rowOff>9525</xdr:rowOff>
    </xdr:from>
    <xdr:ext cx="571500" cy="571500"/>
    <xdr:pic>
      <xdr:nvPicPr>
        <xdr:cNvPr id="982" name="/xl/media/image148.png">
          <a:extLst>
            <a:ext uri="{FF2B5EF4-FFF2-40B4-BE49-F238E27FC236}">
              <a16:creationId xmlns:a16="http://schemas.microsoft.com/office/drawing/2014/main" id="{00000000-0008-0000-01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687</xdr:row>
      <xdr:rowOff>428625</xdr:rowOff>
    </xdr:from>
    <xdr:ext cx="1438275" cy="1438275"/>
    <xdr:pic>
      <xdr:nvPicPr>
        <xdr:cNvPr id="983" name="/xl/media/image133.png">
          <a:extLst>
            <a:ext uri="{FF2B5EF4-FFF2-40B4-BE49-F238E27FC236}">
              <a16:creationId xmlns:a16="http://schemas.microsoft.com/office/drawing/2014/main" id="{00000000-0008-0000-01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688</xdr:row>
      <xdr:rowOff>19050</xdr:rowOff>
    </xdr:from>
    <xdr:ext cx="647700" cy="647700"/>
    <xdr:pic>
      <xdr:nvPicPr>
        <xdr:cNvPr id="984" name="/xl/media/image133.png">
          <a:extLst>
            <a:ext uri="{FF2B5EF4-FFF2-40B4-BE49-F238E27FC236}">
              <a16:creationId xmlns:a16="http://schemas.microsoft.com/office/drawing/2014/main" id="{00000000-0008-0000-01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689</xdr:row>
      <xdr:rowOff>9525</xdr:rowOff>
    </xdr:from>
    <xdr:ext cx="571500" cy="571500"/>
    <xdr:pic>
      <xdr:nvPicPr>
        <xdr:cNvPr id="985" name="/xl/media/image145.png">
          <a:extLst>
            <a:ext uri="{FF2B5EF4-FFF2-40B4-BE49-F238E27FC236}">
              <a16:creationId xmlns:a16="http://schemas.microsoft.com/office/drawing/2014/main" id="{00000000-0008-0000-01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689</xdr:row>
      <xdr:rowOff>9525</xdr:rowOff>
    </xdr:from>
    <xdr:ext cx="571500" cy="571500"/>
    <xdr:pic>
      <xdr:nvPicPr>
        <xdr:cNvPr id="986" name="/xl/media/image147.png">
          <a:extLst>
            <a:ext uri="{FF2B5EF4-FFF2-40B4-BE49-F238E27FC236}">
              <a16:creationId xmlns:a16="http://schemas.microsoft.com/office/drawing/2014/main" id="{00000000-0008-0000-01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689</xdr:row>
      <xdr:rowOff>9525</xdr:rowOff>
    </xdr:from>
    <xdr:ext cx="571500" cy="571500"/>
    <xdr:pic>
      <xdr:nvPicPr>
        <xdr:cNvPr id="987" name="/xl/media/image148.png">
          <a:extLst>
            <a:ext uri="{FF2B5EF4-FFF2-40B4-BE49-F238E27FC236}">
              <a16:creationId xmlns:a16="http://schemas.microsoft.com/office/drawing/2014/main" id="{00000000-0008-0000-01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689</xdr:row>
      <xdr:rowOff>9525</xdr:rowOff>
    </xdr:from>
    <xdr:ext cx="571500" cy="571500"/>
    <xdr:pic>
      <xdr:nvPicPr>
        <xdr:cNvPr id="988" name="/xl/media/image147.png">
          <a:extLst>
            <a:ext uri="{FF2B5EF4-FFF2-40B4-BE49-F238E27FC236}">
              <a16:creationId xmlns:a16="http://schemas.microsoft.com/office/drawing/2014/main" id="{00000000-0008-0000-01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689</xdr:row>
      <xdr:rowOff>9525</xdr:rowOff>
    </xdr:from>
    <xdr:ext cx="571500" cy="571500"/>
    <xdr:pic>
      <xdr:nvPicPr>
        <xdr:cNvPr id="989" name="/xl/media/image145.png">
          <a:extLst>
            <a:ext uri="{FF2B5EF4-FFF2-40B4-BE49-F238E27FC236}">
              <a16:creationId xmlns:a16="http://schemas.microsoft.com/office/drawing/2014/main" id="{00000000-0008-0000-01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689</xdr:row>
      <xdr:rowOff>9525</xdr:rowOff>
    </xdr:from>
    <xdr:ext cx="571500" cy="571500"/>
    <xdr:pic>
      <xdr:nvPicPr>
        <xdr:cNvPr id="990" name="/xl/media/image148.png">
          <a:extLst>
            <a:ext uri="{FF2B5EF4-FFF2-40B4-BE49-F238E27FC236}">
              <a16:creationId xmlns:a16="http://schemas.microsoft.com/office/drawing/2014/main" id="{00000000-0008-0000-01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694</xdr:row>
      <xdr:rowOff>428625</xdr:rowOff>
    </xdr:from>
    <xdr:ext cx="1438275" cy="1438275"/>
    <xdr:pic>
      <xdr:nvPicPr>
        <xdr:cNvPr id="991" name="/xl/media/image143.png">
          <a:extLst>
            <a:ext uri="{FF2B5EF4-FFF2-40B4-BE49-F238E27FC236}">
              <a16:creationId xmlns:a16="http://schemas.microsoft.com/office/drawing/2014/main" id="{00000000-0008-0000-01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695</xdr:row>
      <xdr:rowOff>19050</xdr:rowOff>
    </xdr:from>
    <xdr:ext cx="647700" cy="647700"/>
    <xdr:pic>
      <xdr:nvPicPr>
        <xdr:cNvPr id="992" name="/xl/media/image156.png">
          <a:extLst>
            <a:ext uri="{FF2B5EF4-FFF2-40B4-BE49-F238E27FC236}">
              <a16:creationId xmlns:a16="http://schemas.microsoft.com/office/drawing/2014/main" id="{00000000-0008-0000-01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696</xdr:row>
      <xdr:rowOff>9525</xdr:rowOff>
    </xdr:from>
    <xdr:ext cx="571500" cy="571500"/>
    <xdr:pic>
      <xdr:nvPicPr>
        <xdr:cNvPr id="993" name="/xl/media/image145.png">
          <a:extLst>
            <a:ext uri="{FF2B5EF4-FFF2-40B4-BE49-F238E27FC236}">
              <a16:creationId xmlns:a16="http://schemas.microsoft.com/office/drawing/2014/main" id="{00000000-0008-0000-01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696</xdr:row>
      <xdr:rowOff>9525</xdr:rowOff>
    </xdr:from>
    <xdr:ext cx="571500" cy="571500"/>
    <xdr:pic>
      <xdr:nvPicPr>
        <xdr:cNvPr id="994" name="/xl/media/image146.png">
          <a:extLst>
            <a:ext uri="{FF2B5EF4-FFF2-40B4-BE49-F238E27FC236}">
              <a16:creationId xmlns:a16="http://schemas.microsoft.com/office/drawing/2014/main" id="{00000000-0008-0000-01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696</xdr:row>
      <xdr:rowOff>9525</xdr:rowOff>
    </xdr:from>
    <xdr:ext cx="571500" cy="571500"/>
    <xdr:pic>
      <xdr:nvPicPr>
        <xdr:cNvPr id="995" name="/xl/media/image147.png">
          <a:extLst>
            <a:ext uri="{FF2B5EF4-FFF2-40B4-BE49-F238E27FC236}">
              <a16:creationId xmlns:a16="http://schemas.microsoft.com/office/drawing/2014/main" id="{00000000-0008-0000-01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696</xdr:row>
      <xdr:rowOff>9525</xdr:rowOff>
    </xdr:from>
    <xdr:ext cx="571500" cy="571500"/>
    <xdr:pic>
      <xdr:nvPicPr>
        <xdr:cNvPr id="996" name="/xl/media/image145.png">
          <a:extLst>
            <a:ext uri="{FF2B5EF4-FFF2-40B4-BE49-F238E27FC236}">
              <a16:creationId xmlns:a16="http://schemas.microsoft.com/office/drawing/2014/main" id="{00000000-0008-0000-01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696</xdr:row>
      <xdr:rowOff>9525</xdr:rowOff>
    </xdr:from>
    <xdr:ext cx="571500" cy="571500"/>
    <xdr:pic>
      <xdr:nvPicPr>
        <xdr:cNvPr id="997" name="/xl/media/image146.png">
          <a:extLst>
            <a:ext uri="{FF2B5EF4-FFF2-40B4-BE49-F238E27FC236}">
              <a16:creationId xmlns:a16="http://schemas.microsoft.com/office/drawing/2014/main" id="{00000000-0008-0000-01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696</xdr:row>
      <xdr:rowOff>9525</xdr:rowOff>
    </xdr:from>
    <xdr:ext cx="571500" cy="571500"/>
    <xdr:pic>
      <xdr:nvPicPr>
        <xdr:cNvPr id="998" name="/xl/media/image147.png">
          <a:extLst>
            <a:ext uri="{FF2B5EF4-FFF2-40B4-BE49-F238E27FC236}">
              <a16:creationId xmlns:a16="http://schemas.microsoft.com/office/drawing/2014/main" id="{00000000-0008-0000-01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701</xdr:row>
      <xdr:rowOff>428625</xdr:rowOff>
    </xdr:from>
    <xdr:ext cx="1438275" cy="1438275"/>
    <xdr:pic>
      <xdr:nvPicPr>
        <xdr:cNvPr id="999" name="/xl/media/image157.png">
          <a:extLst>
            <a:ext uri="{FF2B5EF4-FFF2-40B4-BE49-F238E27FC236}">
              <a16:creationId xmlns:a16="http://schemas.microsoft.com/office/drawing/2014/main" id="{00000000-0008-0000-01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703</xdr:row>
      <xdr:rowOff>9525</xdr:rowOff>
    </xdr:from>
    <xdr:ext cx="571500" cy="571500"/>
    <xdr:pic>
      <xdr:nvPicPr>
        <xdr:cNvPr id="1000" name="/xl/media/image158.png">
          <a:extLst>
            <a:ext uri="{FF2B5EF4-FFF2-40B4-BE49-F238E27FC236}">
              <a16:creationId xmlns:a16="http://schemas.microsoft.com/office/drawing/2014/main" id="{00000000-0008-0000-01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703</xdr:row>
      <xdr:rowOff>9525</xdr:rowOff>
    </xdr:from>
    <xdr:ext cx="571500" cy="571500"/>
    <xdr:pic>
      <xdr:nvPicPr>
        <xdr:cNvPr id="1001" name="/xl/media/image159.png">
          <a:extLst>
            <a:ext uri="{FF2B5EF4-FFF2-40B4-BE49-F238E27FC236}">
              <a16:creationId xmlns:a16="http://schemas.microsoft.com/office/drawing/2014/main" id="{00000000-0008-0000-01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703</xdr:row>
      <xdr:rowOff>9525</xdr:rowOff>
    </xdr:from>
    <xdr:ext cx="571500" cy="571500"/>
    <xdr:pic>
      <xdr:nvPicPr>
        <xdr:cNvPr id="1002" name="/xl/media/image160.png">
          <a:extLst>
            <a:ext uri="{FF2B5EF4-FFF2-40B4-BE49-F238E27FC236}">
              <a16:creationId xmlns:a16="http://schemas.microsoft.com/office/drawing/2014/main" id="{00000000-0008-0000-01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708</xdr:row>
      <xdr:rowOff>428625</xdr:rowOff>
    </xdr:from>
    <xdr:ext cx="1438275" cy="1438275"/>
    <xdr:pic>
      <xdr:nvPicPr>
        <xdr:cNvPr id="1003" name="/xl/media/image161.png">
          <a:extLst>
            <a:ext uri="{FF2B5EF4-FFF2-40B4-BE49-F238E27FC236}">
              <a16:creationId xmlns:a16="http://schemas.microsoft.com/office/drawing/2014/main" id="{00000000-0008-0000-01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710</xdr:row>
      <xdr:rowOff>9525</xdr:rowOff>
    </xdr:from>
    <xdr:ext cx="571500" cy="571500"/>
    <xdr:pic>
      <xdr:nvPicPr>
        <xdr:cNvPr id="1004" name="/xl/media/image158.png">
          <a:extLst>
            <a:ext uri="{FF2B5EF4-FFF2-40B4-BE49-F238E27FC236}">
              <a16:creationId xmlns:a16="http://schemas.microsoft.com/office/drawing/2014/main" id="{00000000-0008-0000-01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710</xdr:row>
      <xdr:rowOff>9525</xdr:rowOff>
    </xdr:from>
    <xdr:ext cx="571500" cy="571500"/>
    <xdr:pic>
      <xdr:nvPicPr>
        <xdr:cNvPr id="1005" name="/xl/media/image159.png">
          <a:extLst>
            <a:ext uri="{FF2B5EF4-FFF2-40B4-BE49-F238E27FC236}">
              <a16:creationId xmlns:a16="http://schemas.microsoft.com/office/drawing/2014/main" id="{00000000-0008-0000-01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710</xdr:row>
      <xdr:rowOff>9525</xdr:rowOff>
    </xdr:from>
    <xdr:ext cx="571500" cy="571500"/>
    <xdr:pic>
      <xdr:nvPicPr>
        <xdr:cNvPr id="1006" name="/xl/media/image160.png">
          <a:extLst>
            <a:ext uri="{FF2B5EF4-FFF2-40B4-BE49-F238E27FC236}">
              <a16:creationId xmlns:a16="http://schemas.microsoft.com/office/drawing/2014/main" id="{00000000-0008-0000-01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715</xdr:row>
      <xdr:rowOff>428625</xdr:rowOff>
    </xdr:from>
    <xdr:ext cx="1438275" cy="1438275"/>
    <xdr:pic>
      <xdr:nvPicPr>
        <xdr:cNvPr id="1007" name="/xl/media/image142.png">
          <a:extLst>
            <a:ext uri="{FF2B5EF4-FFF2-40B4-BE49-F238E27FC236}">
              <a16:creationId xmlns:a16="http://schemas.microsoft.com/office/drawing/2014/main" id="{00000000-0008-0000-01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716</xdr:row>
      <xdr:rowOff>19050</xdr:rowOff>
    </xdr:from>
    <xdr:ext cx="647700" cy="647700"/>
    <xdr:pic>
      <xdr:nvPicPr>
        <xdr:cNvPr id="1008" name="/xl/media/image162.png">
          <a:extLst>
            <a:ext uri="{FF2B5EF4-FFF2-40B4-BE49-F238E27FC236}">
              <a16:creationId xmlns:a16="http://schemas.microsoft.com/office/drawing/2014/main" id="{00000000-0008-0000-01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717</xdr:row>
      <xdr:rowOff>9525</xdr:rowOff>
    </xdr:from>
    <xdr:ext cx="571500" cy="571500"/>
    <xdr:pic>
      <xdr:nvPicPr>
        <xdr:cNvPr id="1009" name="/xl/media/image158.png">
          <a:extLst>
            <a:ext uri="{FF2B5EF4-FFF2-40B4-BE49-F238E27FC236}">
              <a16:creationId xmlns:a16="http://schemas.microsoft.com/office/drawing/2014/main" id="{00000000-0008-0000-01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717</xdr:row>
      <xdr:rowOff>9525</xdr:rowOff>
    </xdr:from>
    <xdr:ext cx="571500" cy="571500"/>
    <xdr:pic>
      <xdr:nvPicPr>
        <xdr:cNvPr id="1010" name="/xl/media/image159.png">
          <a:extLst>
            <a:ext uri="{FF2B5EF4-FFF2-40B4-BE49-F238E27FC236}">
              <a16:creationId xmlns:a16="http://schemas.microsoft.com/office/drawing/2014/main" id="{00000000-0008-0000-01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717</xdr:row>
      <xdr:rowOff>9525</xdr:rowOff>
    </xdr:from>
    <xdr:ext cx="571500" cy="571500"/>
    <xdr:pic>
      <xdr:nvPicPr>
        <xdr:cNvPr id="1011" name="/xl/media/image160.png">
          <a:extLst>
            <a:ext uri="{FF2B5EF4-FFF2-40B4-BE49-F238E27FC236}">
              <a16:creationId xmlns:a16="http://schemas.microsoft.com/office/drawing/2014/main" id="{00000000-0008-0000-01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717</xdr:row>
      <xdr:rowOff>9525</xdr:rowOff>
    </xdr:from>
    <xdr:ext cx="571500" cy="571500"/>
    <xdr:pic>
      <xdr:nvPicPr>
        <xdr:cNvPr id="1012" name="/xl/media/image158.png">
          <a:extLst>
            <a:ext uri="{FF2B5EF4-FFF2-40B4-BE49-F238E27FC236}">
              <a16:creationId xmlns:a16="http://schemas.microsoft.com/office/drawing/2014/main" id="{00000000-0008-0000-01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717</xdr:row>
      <xdr:rowOff>9525</xdr:rowOff>
    </xdr:from>
    <xdr:ext cx="571500" cy="571500"/>
    <xdr:pic>
      <xdr:nvPicPr>
        <xdr:cNvPr id="1013" name="/xl/media/image159.png">
          <a:extLst>
            <a:ext uri="{FF2B5EF4-FFF2-40B4-BE49-F238E27FC236}">
              <a16:creationId xmlns:a16="http://schemas.microsoft.com/office/drawing/2014/main" id="{00000000-0008-0000-01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717</xdr:row>
      <xdr:rowOff>9525</xdr:rowOff>
    </xdr:from>
    <xdr:ext cx="571500" cy="571500"/>
    <xdr:pic>
      <xdr:nvPicPr>
        <xdr:cNvPr id="1014" name="/xl/media/image160.png">
          <a:extLst>
            <a:ext uri="{FF2B5EF4-FFF2-40B4-BE49-F238E27FC236}">
              <a16:creationId xmlns:a16="http://schemas.microsoft.com/office/drawing/2014/main" id="{00000000-0008-0000-01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722</xdr:row>
      <xdr:rowOff>428625</xdr:rowOff>
    </xdr:from>
    <xdr:ext cx="1438275" cy="1438275"/>
    <xdr:pic>
      <xdr:nvPicPr>
        <xdr:cNvPr id="1015" name="/xl/media/image140.png">
          <a:extLst>
            <a:ext uri="{FF2B5EF4-FFF2-40B4-BE49-F238E27FC236}">
              <a16:creationId xmlns:a16="http://schemas.microsoft.com/office/drawing/2014/main" id="{00000000-0008-0000-01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723</xdr:row>
      <xdr:rowOff>19050</xdr:rowOff>
    </xdr:from>
    <xdr:ext cx="647700" cy="647700"/>
    <xdr:pic>
      <xdr:nvPicPr>
        <xdr:cNvPr id="1016" name="/xl/media/image162.png">
          <a:extLst>
            <a:ext uri="{FF2B5EF4-FFF2-40B4-BE49-F238E27FC236}">
              <a16:creationId xmlns:a16="http://schemas.microsoft.com/office/drawing/2014/main" id="{00000000-0008-0000-01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724</xdr:row>
      <xdr:rowOff>9525</xdr:rowOff>
    </xdr:from>
    <xdr:ext cx="571500" cy="571500"/>
    <xdr:pic>
      <xdr:nvPicPr>
        <xdr:cNvPr id="1017" name="/xl/media/image158.png">
          <a:extLst>
            <a:ext uri="{FF2B5EF4-FFF2-40B4-BE49-F238E27FC236}">
              <a16:creationId xmlns:a16="http://schemas.microsoft.com/office/drawing/2014/main" id="{00000000-0008-0000-01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724</xdr:row>
      <xdr:rowOff>9525</xdr:rowOff>
    </xdr:from>
    <xdr:ext cx="571500" cy="571500"/>
    <xdr:pic>
      <xdr:nvPicPr>
        <xdr:cNvPr id="1018" name="/xl/media/image159.png">
          <a:extLst>
            <a:ext uri="{FF2B5EF4-FFF2-40B4-BE49-F238E27FC236}">
              <a16:creationId xmlns:a16="http://schemas.microsoft.com/office/drawing/2014/main" id="{00000000-0008-0000-01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724</xdr:row>
      <xdr:rowOff>9525</xdr:rowOff>
    </xdr:from>
    <xdr:ext cx="571500" cy="571500"/>
    <xdr:pic>
      <xdr:nvPicPr>
        <xdr:cNvPr id="1019" name="/xl/media/image160.png">
          <a:extLst>
            <a:ext uri="{FF2B5EF4-FFF2-40B4-BE49-F238E27FC236}">
              <a16:creationId xmlns:a16="http://schemas.microsoft.com/office/drawing/2014/main" id="{00000000-0008-0000-01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724</xdr:row>
      <xdr:rowOff>9525</xdr:rowOff>
    </xdr:from>
    <xdr:ext cx="571500" cy="571500"/>
    <xdr:pic>
      <xdr:nvPicPr>
        <xdr:cNvPr id="1020" name="/xl/media/image158.png">
          <a:extLst>
            <a:ext uri="{FF2B5EF4-FFF2-40B4-BE49-F238E27FC236}">
              <a16:creationId xmlns:a16="http://schemas.microsoft.com/office/drawing/2014/main" id="{00000000-0008-0000-01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724</xdr:row>
      <xdr:rowOff>9525</xdr:rowOff>
    </xdr:from>
    <xdr:ext cx="571500" cy="571500"/>
    <xdr:pic>
      <xdr:nvPicPr>
        <xdr:cNvPr id="1021" name="/xl/media/image159.png">
          <a:extLst>
            <a:ext uri="{FF2B5EF4-FFF2-40B4-BE49-F238E27FC236}">
              <a16:creationId xmlns:a16="http://schemas.microsoft.com/office/drawing/2014/main" id="{00000000-0008-0000-01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724</xdr:row>
      <xdr:rowOff>9525</xdr:rowOff>
    </xdr:from>
    <xdr:ext cx="571500" cy="571500"/>
    <xdr:pic>
      <xdr:nvPicPr>
        <xdr:cNvPr id="1022" name="/xl/media/image160.png">
          <a:extLst>
            <a:ext uri="{FF2B5EF4-FFF2-40B4-BE49-F238E27FC236}">
              <a16:creationId xmlns:a16="http://schemas.microsoft.com/office/drawing/2014/main" id="{00000000-0008-0000-01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729</xdr:row>
      <xdr:rowOff>428625</xdr:rowOff>
    </xdr:from>
    <xdr:ext cx="1438275" cy="1438275"/>
    <xdr:pic>
      <xdr:nvPicPr>
        <xdr:cNvPr id="1023" name="/xl/media/image141.png">
          <a:extLst>
            <a:ext uri="{FF2B5EF4-FFF2-40B4-BE49-F238E27FC236}">
              <a16:creationId xmlns:a16="http://schemas.microsoft.com/office/drawing/2014/main" id="{00000000-0008-0000-01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730</xdr:row>
      <xdr:rowOff>19050</xdr:rowOff>
    </xdr:from>
    <xdr:ext cx="647700" cy="647700"/>
    <xdr:pic>
      <xdr:nvPicPr>
        <xdr:cNvPr id="1024" name="/xl/media/image162.png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731</xdr:row>
      <xdr:rowOff>9525</xdr:rowOff>
    </xdr:from>
    <xdr:ext cx="571500" cy="571500"/>
    <xdr:pic>
      <xdr:nvPicPr>
        <xdr:cNvPr id="1025" name="/xl/media/image158.png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731</xdr:row>
      <xdr:rowOff>9525</xdr:rowOff>
    </xdr:from>
    <xdr:ext cx="571500" cy="571500"/>
    <xdr:pic>
      <xdr:nvPicPr>
        <xdr:cNvPr id="1026" name="/xl/media/image159.png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731</xdr:row>
      <xdr:rowOff>9525</xdr:rowOff>
    </xdr:from>
    <xdr:ext cx="571500" cy="571500"/>
    <xdr:pic>
      <xdr:nvPicPr>
        <xdr:cNvPr id="1027" name="/xl/media/image160.png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731</xdr:row>
      <xdr:rowOff>9525</xdr:rowOff>
    </xdr:from>
    <xdr:ext cx="571500" cy="571500"/>
    <xdr:pic>
      <xdr:nvPicPr>
        <xdr:cNvPr id="1028" name="/xl/media/image158.png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731</xdr:row>
      <xdr:rowOff>9525</xdr:rowOff>
    </xdr:from>
    <xdr:ext cx="571500" cy="571500"/>
    <xdr:pic>
      <xdr:nvPicPr>
        <xdr:cNvPr id="1029" name="/xl/media/image159.png">
          <a:extLs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731</xdr:row>
      <xdr:rowOff>9525</xdr:rowOff>
    </xdr:from>
    <xdr:ext cx="571500" cy="571500"/>
    <xdr:pic>
      <xdr:nvPicPr>
        <xdr:cNvPr id="1030" name="/xl/media/image160.png">
          <a:extLs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736</xdr:row>
      <xdr:rowOff>428625</xdr:rowOff>
    </xdr:from>
    <xdr:ext cx="1438275" cy="1438275"/>
    <xdr:pic>
      <xdr:nvPicPr>
        <xdr:cNvPr id="1031" name="/xl/media/image156.png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737</xdr:row>
      <xdr:rowOff>19050</xdr:rowOff>
    </xdr:from>
    <xdr:ext cx="647700" cy="647700"/>
    <xdr:pic>
      <xdr:nvPicPr>
        <xdr:cNvPr id="1032" name="/xl/media/image163.png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738</xdr:row>
      <xdr:rowOff>9525</xdr:rowOff>
    </xdr:from>
    <xdr:ext cx="571500" cy="571500"/>
    <xdr:pic>
      <xdr:nvPicPr>
        <xdr:cNvPr id="1033" name="/xl/media/image158.png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738</xdr:row>
      <xdr:rowOff>9525</xdr:rowOff>
    </xdr:from>
    <xdr:ext cx="571500" cy="571500"/>
    <xdr:pic>
      <xdr:nvPicPr>
        <xdr:cNvPr id="1034" name="/xl/media/image159.png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738</xdr:row>
      <xdr:rowOff>9525</xdr:rowOff>
    </xdr:from>
    <xdr:ext cx="571500" cy="571500"/>
    <xdr:pic>
      <xdr:nvPicPr>
        <xdr:cNvPr id="1035" name="/xl/media/image158.png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738</xdr:row>
      <xdr:rowOff>9525</xdr:rowOff>
    </xdr:from>
    <xdr:ext cx="571500" cy="571500"/>
    <xdr:pic>
      <xdr:nvPicPr>
        <xdr:cNvPr id="1036" name="/xl/media/image159.png"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743</xdr:row>
      <xdr:rowOff>428625</xdr:rowOff>
    </xdr:from>
    <xdr:ext cx="1438275" cy="1438275"/>
    <xdr:pic>
      <xdr:nvPicPr>
        <xdr:cNvPr id="1037" name="/xl/media/image150.png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744</xdr:row>
      <xdr:rowOff>19050</xdr:rowOff>
    </xdr:from>
    <xdr:ext cx="647700" cy="647700"/>
    <xdr:pic>
      <xdr:nvPicPr>
        <xdr:cNvPr id="1038" name="/xl/media/image164.png">
          <a:extLst>
            <a:ext uri="{FF2B5EF4-FFF2-40B4-BE49-F238E27FC236}">
              <a16:creationId xmlns:a16="http://schemas.microsoft.com/office/drawing/2014/main" id="{00000000-0008-0000-01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745</xdr:row>
      <xdr:rowOff>9525</xdr:rowOff>
    </xdr:from>
    <xdr:ext cx="571500" cy="571500"/>
    <xdr:pic>
      <xdr:nvPicPr>
        <xdr:cNvPr id="1039" name="/xl/media/image159.png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745</xdr:row>
      <xdr:rowOff>9525</xdr:rowOff>
    </xdr:from>
    <xdr:ext cx="571500" cy="571500"/>
    <xdr:pic>
      <xdr:nvPicPr>
        <xdr:cNvPr id="1040" name="/xl/media/image160.png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745</xdr:row>
      <xdr:rowOff>9525</xdr:rowOff>
    </xdr:from>
    <xdr:ext cx="571500" cy="571500"/>
    <xdr:pic>
      <xdr:nvPicPr>
        <xdr:cNvPr id="1041" name="/xl/media/image158.png">
          <a:extLs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745</xdr:row>
      <xdr:rowOff>9525</xdr:rowOff>
    </xdr:from>
    <xdr:ext cx="571500" cy="571500"/>
    <xdr:pic>
      <xdr:nvPicPr>
        <xdr:cNvPr id="1042" name="/xl/media/image159.png">
          <a:extLst>
            <a:ext uri="{FF2B5EF4-FFF2-40B4-BE49-F238E27FC236}">
              <a16:creationId xmlns:a16="http://schemas.microsoft.com/office/drawing/2014/main" id="{00000000-0008-0000-01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745</xdr:row>
      <xdr:rowOff>9525</xdr:rowOff>
    </xdr:from>
    <xdr:ext cx="571500" cy="571500"/>
    <xdr:pic>
      <xdr:nvPicPr>
        <xdr:cNvPr id="1043" name="/xl/media/image160.png">
          <a:extLs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745</xdr:row>
      <xdr:rowOff>9525</xdr:rowOff>
    </xdr:from>
    <xdr:ext cx="571500" cy="571500"/>
    <xdr:pic>
      <xdr:nvPicPr>
        <xdr:cNvPr id="1044" name="/xl/media/image158.png">
          <a:extLst>
            <a:ext uri="{FF2B5EF4-FFF2-40B4-BE49-F238E27FC236}">
              <a16:creationId xmlns:a16="http://schemas.microsoft.com/office/drawing/2014/main" id="{00000000-0008-0000-01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750</xdr:row>
      <xdr:rowOff>428625</xdr:rowOff>
    </xdr:from>
    <xdr:ext cx="1438275" cy="1438275"/>
    <xdr:pic>
      <xdr:nvPicPr>
        <xdr:cNvPr id="1045" name="/xl/media/image152.png">
          <a:extLs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751</xdr:row>
      <xdr:rowOff>19050</xdr:rowOff>
    </xdr:from>
    <xdr:ext cx="647700" cy="647700"/>
    <xdr:pic>
      <xdr:nvPicPr>
        <xdr:cNvPr id="1046" name="/xl/media/image165.png">
          <a:extLst>
            <a:ext uri="{FF2B5EF4-FFF2-40B4-BE49-F238E27FC236}">
              <a16:creationId xmlns:a16="http://schemas.microsoft.com/office/drawing/2014/main" id="{00000000-0008-0000-01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752</xdr:row>
      <xdr:rowOff>9525</xdr:rowOff>
    </xdr:from>
    <xdr:ext cx="571500" cy="571500"/>
    <xdr:pic>
      <xdr:nvPicPr>
        <xdr:cNvPr id="1047" name="/xl/media/image159.png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752</xdr:row>
      <xdr:rowOff>9525</xdr:rowOff>
    </xdr:from>
    <xdr:ext cx="571500" cy="571500"/>
    <xdr:pic>
      <xdr:nvPicPr>
        <xdr:cNvPr id="1048" name="/xl/media/image160.png">
          <a:extLst>
            <a:ext uri="{FF2B5EF4-FFF2-40B4-BE49-F238E27FC236}">
              <a16:creationId xmlns:a16="http://schemas.microsoft.com/office/drawing/2014/main" id="{00000000-0008-0000-01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752</xdr:row>
      <xdr:rowOff>9525</xdr:rowOff>
    </xdr:from>
    <xdr:ext cx="571500" cy="571500"/>
    <xdr:pic>
      <xdr:nvPicPr>
        <xdr:cNvPr id="1049" name="/xl/media/image158.png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752</xdr:row>
      <xdr:rowOff>9525</xdr:rowOff>
    </xdr:from>
    <xdr:ext cx="571500" cy="571500"/>
    <xdr:pic>
      <xdr:nvPicPr>
        <xdr:cNvPr id="1050" name="/xl/media/image159.png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752</xdr:row>
      <xdr:rowOff>9525</xdr:rowOff>
    </xdr:from>
    <xdr:ext cx="571500" cy="571500"/>
    <xdr:pic>
      <xdr:nvPicPr>
        <xdr:cNvPr id="1051" name="/xl/media/image160.png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752</xdr:row>
      <xdr:rowOff>9525</xdr:rowOff>
    </xdr:from>
    <xdr:ext cx="571500" cy="571500"/>
    <xdr:pic>
      <xdr:nvPicPr>
        <xdr:cNvPr id="1052" name="/xl/media/image158.png"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757</xdr:row>
      <xdr:rowOff>428625</xdr:rowOff>
    </xdr:from>
    <xdr:ext cx="1438275" cy="1438275"/>
    <xdr:pic>
      <xdr:nvPicPr>
        <xdr:cNvPr id="1053" name="/xl/media/image151.png"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758</xdr:row>
      <xdr:rowOff>19050</xdr:rowOff>
    </xdr:from>
    <xdr:ext cx="647700" cy="647700"/>
    <xdr:pic>
      <xdr:nvPicPr>
        <xdr:cNvPr id="1054" name="/xl/media/image166.png">
          <a:extLst>
            <a:ext uri="{FF2B5EF4-FFF2-40B4-BE49-F238E27FC236}">
              <a16:creationId xmlns:a16="http://schemas.microsoft.com/office/drawing/2014/main" id="{00000000-0008-0000-01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759</xdr:row>
      <xdr:rowOff>9525</xdr:rowOff>
    </xdr:from>
    <xdr:ext cx="571500" cy="571500"/>
    <xdr:pic>
      <xdr:nvPicPr>
        <xdr:cNvPr id="1055" name="/xl/media/image158.png"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759</xdr:row>
      <xdr:rowOff>9525</xdr:rowOff>
    </xdr:from>
    <xdr:ext cx="571500" cy="571500"/>
    <xdr:pic>
      <xdr:nvPicPr>
        <xdr:cNvPr id="1056" name="/xl/media/image159.png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759</xdr:row>
      <xdr:rowOff>9525</xdr:rowOff>
    </xdr:from>
    <xdr:ext cx="571500" cy="571500"/>
    <xdr:pic>
      <xdr:nvPicPr>
        <xdr:cNvPr id="1057" name="/xl/media/image158.png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759</xdr:row>
      <xdr:rowOff>9525</xdr:rowOff>
    </xdr:from>
    <xdr:ext cx="571500" cy="571500"/>
    <xdr:pic>
      <xdr:nvPicPr>
        <xdr:cNvPr id="1058" name="/xl/media/image159.png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764</xdr:row>
      <xdr:rowOff>428625</xdr:rowOff>
    </xdr:from>
    <xdr:ext cx="1438275" cy="1438275"/>
    <xdr:pic>
      <xdr:nvPicPr>
        <xdr:cNvPr id="1059" name="/xl/media/image153.png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765</xdr:row>
      <xdr:rowOff>19050</xdr:rowOff>
    </xdr:from>
    <xdr:ext cx="647700" cy="647700"/>
    <xdr:pic>
      <xdr:nvPicPr>
        <xdr:cNvPr id="1060" name="/xl/media/image167.png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766</xdr:row>
      <xdr:rowOff>9525</xdr:rowOff>
    </xdr:from>
    <xdr:ext cx="571500" cy="571500"/>
    <xdr:pic>
      <xdr:nvPicPr>
        <xdr:cNvPr id="1061" name="/xl/media/image158.png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766</xdr:row>
      <xdr:rowOff>9525</xdr:rowOff>
    </xdr:from>
    <xdr:ext cx="571500" cy="571500"/>
    <xdr:pic>
      <xdr:nvPicPr>
        <xdr:cNvPr id="1062" name="/xl/media/image159.png">
          <a:extLst>
            <a:ext uri="{FF2B5EF4-FFF2-40B4-BE49-F238E27FC236}">
              <a16:creationId xmlns:a16="http://schemas.microsoft.com/office/drawing/2014/main" id="{00000000-0008-0000-01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766</xdr:row>
      <xdr:rowOff>9525</xdr:rowOff>
    </xdr:from>
    <xdr:ext cx="571500" cy="571500"/>
    <xdr:pic>
      <xdr:nvPicPr>
        <xdr:cNvPr id="1063" name="/xl/media/image159.png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766</xdr:row>
      <xdr:rowOff>9525</xdr:rowOff>
    </xdr:from>
    <xdr:ext cx="571500" cy="571500"/>
    <xdr:pic>
      <xdr:nvPicPr>
        <xdr:cNvPr id="1064" name="/xl/media/image158.png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771</xdr:row>
      <xdr:rowOff>428625</xdr:rowOff>
    </xdr:from>
    <xdr:ext cx="1438275" cy="1438275"/>
    <xdr:pic>
      <xdr:nvPicPr>
        <xdr:cNvPr id="1065" name="/xl/media/image133.png"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772</xdr:row>
      <xdr:rowOff>19050</xdr:rowOff>
    </xdr:from>
    <xdr:ext cx="647700" cy="647700"/>
    <xdr:pic>
      <xdr:nvPicPr>
        <xdr:cNvPr id="1066" name="/xl/media/image168.png">
          <a:extLst>
            <a:ext uri="{FF2B5EF4-FFF2-40B4-BE49-F238E27FC236}">
              <a16:creationId xmlns:a16="http://schemas.microsoft.com/office/drawing/2014/main" id="{00000000-0008-0000-01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773</xdr:row>
      <xdr:rowOff>9525</xdr:rowOff>
    </xdr:from>
    <xdr:ext cx="571500" cy="571500"/>
    <xdr:pic>
      <xdr:nvPicPr>
        <xdr:cNvPr id="1067" name="/xl/media/image158.png"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773</xdr:row>
      <xdr:rowOff>9525</xdr:rowOff>
    </xdr:from>
    <xdr:ext cx="571500" cy="571500"/>
    <xdr:pic>
      <xdr:nvPicPr>
        <xdr:cNvPr id="1068" name="/xl/media/image160.png">
          <a:extLst>
            <a:ext uri="{FF2B5EF4-FFF2-40B4-BE49-F238E27FC236}">
              <a16:creationId xmlns:a16="http://schemas.microsoft.com/office/drawing/2014/main" id="{00000000-0008-0000-01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773</xdr:row>
      <xdr:rowOff>9525</xdr:rowOff>
    </xdr:from>
    <xdr:ext cx="571500" cy="571500"/>
    <xdr:pic>
      <xdr:nvPicPr>
        <xdr:cNvPr id="1069" name="/xl/media/image158.png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773</xdr:row>
      <xdr:rowOff>9525</xdr:rowOff>
    </xdr:from>
    <xdr:ext cx="571500" cy="571500"/>
    <xdr:pic>
      <xdr:nvPicPr>
        <xdr:cNvPr id="1070" name="/xl/media/image160.png">
          <a:extLs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778</xdr:row>
      <xdr:rowOff>428625</xdr:rowOff>
    </xdr:from>
    <xdr:ext cx="1438275" cy="1438275"/>
    <xdr:pic>
      <xdr:nvPicPr>
        <xdr:cNvPr id="1071" name="/xl/media/image155.png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779</xdr:row>
      <xdr:rowOff>19050</xdr:rowOff>
    </xdr:from>
    <xdr:ext cx="647700" cy="647700"/>
    <xdr:pic>
      <xdr:nvPicPr>
        <xdr:cNvPr id="1072" name="/xl/media/image168.png">
          <a:extLst>
            <a:ext uri="{FF2B5EF4-FFF2-40B4-BE49-F238E27FC236}">
              <a16:creationId xmlns:a16="http://schemas.microsoft.com/office/drawing/2014/main" id="{00000000-0008-0000-01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780</xdr:row>
      <xdr:rowOff>9525</xdr:rowOff>
    </xdr:from>
    <xdr:ext cx="571500" cy="571500"/>
    <xdr:pic>
      <xdr:nvPicPr>
        <xdr:cNvPr id="1073" name="/xl/media/image158.png"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780</xdr:row>
      <xdr:rowOff>9525</xdr:rowOff>
    </xdr:from>
    <xdr:ext cx="571500" cy="571500"/>
    <xdr:pic>
      <xdr:nvPicPr>
        <xdr:cNvPr id="1074" name="/xl/media/image160.png">
          <a:extLst>
            <a:ext uri="{FF2B5EF4-FFF2-40B4-BE49-F238E27FC236}">
              <a16:creationId xmlns:a16="http://schemas.microsoft.com/office/drawing/2014/main" id="{00000000-0008-0000-01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780</xdr:row>
      <xdr:rowOff>9525</xdr:rowOff>
    </xdr:from>
    <xdr:ext cx="571500" cy="571500"/>
    <xdr:pic>
      <xdr:nvPicPr>
        <xdr:cNvPr id="1075" name="/xl/media/image158.png">
          <a:extLst>
            <a:ext uri="{FF2B5EF4-FFF2-40B4-BE49-F238E27FC236}">
              <a16:creationId xmlns:a16="http://schemas.microsoft.com/office/drawing/2014/main" id="{00000000-0008-0000-01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780</xdr:row>
      <xdr:rowOff>9525</xdr:rowOff>
    </xdr:from>
    <xdr:ext cx="571500" cy="571500"/>
    <xdr:pic>
      <xdr:nvPicPr>
        <xdr:cNvPr id="1076" name="/xl/media/image160.png">
          <a:extLst>
            <a:ext uri="{FF2B5EF4-FFF2-40B4-BE49-F238E27FC236}">
              <a16:creationId xmlns:a16="http://schemas.microsoft.com/office/drawing/2014/main" id="{00000000-0008-0000-01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785</xdr:row>
      <xdr:rowOff>428625</xdr:rowOff>
    </xdr:from>
    <xdr:ext cx="1438275" cy="1438275"/>
    <xdr:pic>
      <xdr:nvPicPr>
        <xdr:cNvPr id="1077" name="/xl/media/image154.png">
          <a:extLst>
            <a:ext uri="{FF2B5EF4-FFF2-40B4-BE49-F238E27FC236}">
              <a16:creationId xmlns:a16="http://schemas.microsoft.com/office/drawing/2014/main" id="{00000000-0008-0000-01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786</xdr:row>
      <xdr:rowOff>19050</xdr:rowOff>
    </xdr:from>
    <xdr:ext cx="647700" cy="647700"/>
    <xdr:pic>
      <xdr:nvPicPr>
        <xdr:cNvPr id="1078" name="/xl/media/image168.png">
          <a:extLst>
            <a:ext uri="{FF2B5EF4-FFF2-40B4-BE49-F238E27FC236}">
              <a16:creationId xmlns:a16="http://schemas.microsoft.com/office/drawing/2014/main" id="{00000000-0008-0000-01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787</xdr:row>
      <xdr:rowOff>9525</xdr:rowOff>
    </xdr:from>
    <xdr:ext cx="571500" cy="571500"/>
    <xdr:pic>
      <xdr:nvPicPr>
        <xdr:cNvPr id="1079" name="/xl/media/image158.png">
          <a:extLst>
            <a:ext uri="{FF2B5EF4-FFF2-40B4-BE49-F238E27FC236}">
              <a16:creationId xmlns:a16="http://schemas.microsoft.com/office/drawing/2014/main" id="{00000000-0008-0000-01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787</xdr:row>
      <xdr:rowOff>9525</xdr:rowOff>
    </xdr:from>
    <xdr:ext cx="571500" cy="571500"/>
    <xdr:pic>
      <xdr:nvPicPr>
        <xdr:cNvPr id="1080" name="/xl/media/image160.png">
          <a:extLst>
            <a:ext uri="{FF2B5EF4-FFF2-40B4-BE49-F238E27FC236}">
              <a16:creationId xmlns:a16="http://schemas.microsoft.com/office/drawing/2014/main" id="{00000000-0008-0000-01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787</xdr:row>
      <xdr:rowOff>9525</xdr:rowOff>
    </xdr:from>
    <xdr:ext cx="571500" cy="571500"/>
    <xdr:pic>
      <xdr:nvPicPr>
        <xdr:cNvPr id="1081" name="/xl/media/image158.png"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787</xdr:row>
      <xdr:rowOff>9525</xdr:rowOff>
    </xdr:from>
    <xdr:ext cx="571500" cy="571500"/>
    <xdr:pic>
      <xdr:nvPicPr>
        <xdr:cNvPr id="1082" name="/xl/media/image160.png">
          <a:extLst>
            <a:ext uri="{FF2B5EF4-FFF2-40B4-BE49-F238E27FC236}">
              <a16:creationId xmlns:a16="http://schemas.microsoft.com/office/drawing/2014/main" id="{00000000-0008-0000-01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792</xdr:row>
      <xdr:rowOff>428625</xdr:rowOff>
    </xdr:from>
    <xdr:ext cx="1438275" cy="1438275"/>
    <xdr:pic>
      <xdr:nvPicPr>
        <xdr:cNvPr id="1083" name="/xl/media/image144.png">
          <a:extLst>
            <a:ext uri="{FF2B5EF4-FFF2-40B4-BE49-F238E27FC236}">
              <a16:creationId xmlns:a16="http://schemas.microsoft.com/office/drawing/2014/main" id="{00000000-0008-0000-01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793</xdr:row>
      <xdr:rowOff>19050</xdr:rowOff>
    </xdr:from>
    <xdr:ext cx="647700" cy="647700"/>
    <xdr:pic>
      <xdr:nvPicPr>
        <xdr:cNvPr id="1084" name="/xl/media/image169.png">
          <a:extLst>
            <a:ext uri="{FF2B5EF4-FFF2-40B4-BE49-F238E27FC236}">
              <a16:creationId xmlns:a16="http://schemas.microsoft.com/office/drawing/2014/main" id="{00000000-0008-0000-01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794</xdr:row>
      <xdr:rowOff>9525</xdr:rowOff>
    </xdr:from>
    <xdr:ext cx="571500" cy="571500"/>
    <xdr:pic>
      <xdr:nvPicPr>
        <xdr:cNvPr id="1085" name="/xl/media/image158.png">
          <a:extLst>
            <a:ext uri="{FF2B5EF4-FFF2-40B4-BE49-F238E27FC236}">
              <a16:creationId xmlns:a16="http://schemas.microsoft.com/office/drawing/2014/main" id="{00000000-0008-0000-01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794</xdr:row>
      <xdr:rowOff>9525</xdr:rowOff>
    </xdr:from>
    <xdr:ext cx="571500" cy="571500"/>
    <xdr:pic>
      <xdr:nvPicPr>
        <xdr:cNvPr id="1086" name="/xl/media/image159.png">
          <a:extLst>
            <a:ext uri="{FF2B5EF4-FFF2-40B4-BE49-F238E27FC236}">
              <a16:creationId xmlns:a16="http://schemas.microsoft.com/office/drawing/2014/main" id="{00000000-0008-0000-01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794</xdr:row>
      <xdr:rowOff>9525</xdr:rowOff>
    </xdr:from>
    <xdr:ext cx="571500" cy="571500"/>
    <xdr:pic>
      <xdr:nvPicPr>
        <xdr:cNvPr id="1087" name="/xl/media/image160.png">
          <a:extLst>
            <a:ext uri="{FF2B5EF4-FFF2-40B4-BE49-F238E27FC236}">
              <a16:creationId xmlns:a16="http://schemas.microsoft.com/office/drawing/2014/main" id="{00000000-0008-0000-01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794</xdr:row>
      <xdr:rowOff>9525</xdr:rowOff>
    </xdr:from>
    <xdr:ext cx="571500" cy="571500"/>
    <xdr:pic>
      <xdr:nvPicPr>
        <xdr:cNvPr id="1088" name="/xl/media/image158.png">
          <a:extLst>
            <a:ext uri="{FF2B5EF4-FFF2-40B4-BE49-F238E27FC236}">
              <a16:creationId xmlns:a16="http://schemas.microsoft.com/office/drawing/2014/main" id="{00000000-0008-0000-01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794</xdr:row>
      <xdr:rowOff>9525</xdr:rowOff>
    </xdr:from>
    <xdr:ext cx="571500" cy="571500"/>
    <xdr:pic>
      <xdr:nvPicPr>
        <xdr:cNvPr id="1089" name="/xl/media/image159.png">
          <a:extLst>
            <a:ext uri="{FF2B5EF4-FFF2-40B4-BE49-F238E27FC236}">
              <a16:creationId xmlns:a16="http://schemas.microsoft.com/office/drawing/2014/main" id="{00000000-0008-0000-01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794</xdr:row>
      <xdr:rowOff>9525</xdr:rowOff>
    </xdr:from>
    <xdr:ext cx="571500" cy="571500"/>
    <xdr:pic>
      <xdr:nvPicPr>
        <xdr:cNvPr id="1090" name="/xl/media/image160.png">
          <a:extLst>
            <a:ext uri="{FF2B5EF4-FFF2-40B4-BE49-F238E27FC236}">
              <a16:creationId xmlns:a16="http://schemas.microsoft.com/office/drawing/2014/main" id="{00000000-0008-0000-01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799</xdr:row>
      <xdr:rowOff>428625</xdr:rowOff>
    </xdr:from>
    <xdr:ext cx="1438275" cy="1438275"/>
    <xdr:pic>
      <xdr:nvPicPr>
        <xdr:cNvPr id="1091" name="/xl/media/image149.png">
          <a:extLst>
            <a:ext uri="{FF2B5EF4-FFF2-40B4-BE49-F238E27FC236}">
              <a16:creationId xmlns:a16="http://schemas.microsoft.com/office/drawing/2014/main" id="{00000000-0008-0000-01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800</xdr:row>
      <xdr:rowOff>19050</xdr:rowOff>
    </xdr:from>
    <xdr:ext cx="647700" cy="647700"/>
    <xdr:pic>
      <xdr:nvPicPr>
        <xdr:cNvPr id="1092" name="/xl/media/image170.png">
          <a:extLst>
            <a:ext uri="{FF2B5EF4-FFF2-40B4-BE49-F238E27FC236}">
              <a16:creationId xmlns:a16="http://schemas.microsoft.com/office/drawing/2014/main" id="{00000000-0008-0000-01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801</xdr:row>
      <xdr:rowOff>9525</xdr:rowOff>
    </xdr:from>
    <xdr:ext cx="571500" cy="571500"/>
    <xdr:pic>
      <xdr:nvPicPr>
        <xdr:cNvPr id="1093" name="/xl/media/image158.png">
          <a:extLst>
            <a:ext uri="{FF2B5EF4-FFF2-40B4-BE49-F238E27FC236}">
              <a16:creationId xmlns:a16="http://schemas.microsoft.com/office/drawing/2014/main" id="{00000000-0008-0000-01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801</xdr:row>
      <xdr:rowOff>9525</xdr:rowOff>
    </xdr:from>
    <xdr:ext cx="571500" cy="571500"/>
    <xdr:pic>
      <xdr:nvPicPr>
        <xdr:cNvPr id="1094" name="/xl/media/image159.png">
          <a:extLst>
            <a:ext uri="{FF2B5EF4-FFF2-40B4-BE49-F238E27FC236}">
              <a16:creationId xmlns:a16="http://schemas.microsoft.com/office/drawing/2014/main" id="{00000000-0008-0000-01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801</xdr:row>
      <xdr:rowOff>9525</xdr:rowOff>
    </xdr:from>
    <xdr:ext cx="571500" cy="571500"/>
    <xdr:pic>
      <xdr:nvPicPr>
        <xdr:cNvPr id="1095" name="/xl/media/image160.png">
          <a:extLst>
            <a:ext uri="{FF2B5EF4-FFF2-40B4-BE49-F238E27FC236}">
              <a16:creationId xmlns:a16="http://schemas.microsoft.com/office/drawing/2014/main" id="{00000000-0008-0000-01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801</xdr:row>
      <xdr:rowOff>9525</xdr:rowOff>
    </xdr:from>
    <xdr:ext cx="571500" cy="571500"/>
    <xdr:pic>
      <xdr:nvPicPr>
        <xdr:cNvPr id="1096" name="/xl/media/image158.png">
          <a:extLst>
            <a:ext uri="{FF2B5EF4-FFF2-40B4-BE49-F238E27FC236}">
              <a16:creationId xmlns:a16="http://schemas.microsoft.com/office/drawing/2014/main" id="{00000000-0008-0000-01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801</xdr:row>
      <xdr:rowOff>9525</xdr:rowOff>
    </xdr:from>
    <xdr:ext cx="571500" cy="571500"/>
    <xdr:pic>
      <xdr:nvPicPr>
        <xdr:cNvPr id="1097" name="/xl/media/image159.png">
          <a:extLst>
            <a:ext uri="{FF2B5EF4-FFF2-40B4-BE49-F238E27FC236}">
              <a16:creationId xmlns:a16="http://schemas.microsoft.com/office/drawing/2014/main" id="{00000000-0008-0000-01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801</xdr:row>
      <xdr:rowOff>9525</xdr:rowOff>
    </xdr:from>
    <xdr:ext cx="571500" cy="571500"/>
    <xdr:pic>
      <xdr:nvPicPr>
        <xdr:cNvPr id="1098" name="/xl/media/image160.png">
          <a:extLst>
            <a:ext uri="{FF2B5EF4-FFF2-40B4-BE49-F238E27FC236}">
              <a16:creationId xmlns:a16="http://schemas.microsoft.com/office/drawing/2014/main" id="{00000000-0008-0000-01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806</xdr:row>
      <xdr:rowOff>428625</xdr:rowOff>
    </xdr:from>
    <xdr:ext cx="1438275" cy="1438275"/>
    <xdr:pic>
      <xdr:nvPicPr>
        <xdr:cNvPr id="1099" name="/xl/media/image169.png">
          <a:extLst>
            <a:ext uri="{FF2B5EF4-FFF2-40B4-BE49-F238E27FC236}">
              <a16:creationId xmlns:a16="http://schemas.microsoft.com/office/drawing/2014/main" id="{00000000-0008-0000-01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807</xdr:row>
      <xdr:rowOff>19050</xdr:rowOff>
    </xdr:from>
    <xdr:ext cx="647700" cy="647700"/>
    <xdr:pic>
      <xdr:nvPicPr>
        <xdr:cNvPr id="1100" name="/xl/media/image171.png">
          <a:extLst>
            <a:ext uri="{FF2B5EF4-FFF2-40B4-BE49-F238E27FC236}">
              <a16:creationId xmlns:a16="http://schemas.microsoft.com/office/drawing/2014/main" id="{00000000-0008-0000-01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808</xdr:row>
      <xdr:rowOff>9525</xdr:rowOff>
    </xdr:from>
    <xdr:ext cx="571500" cy="571500"/>
    <xdr:pic>
      <xdr:nvPicPr>
        <xdr:cNvPr id="1101" name="/xl/media/image172.png">
          <a:extLst>
            <a:ext uri="{FF2B5EF4-FFF2-40B4-BE49-F238E27FC236}">
              <a16:creationId xmlns:a16="http://schemas.microsoft.com/office/drawing/2014/main" id="{00000000-0008-0000-01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808</xdr:row>
      <xdr:rowOff>9525</xdr:rowOff>
    </xdr:from>
    <xdr:ext cx="571500" cy="571500"/>
    <xdr:pic>
      <xdr:nvPicPr>
        <xdr:cNvPr id="1102" name="/xl/media/image173.png">
          <a:extLst>
            <a:ext uri="{FF2B5EF4-FFF2-40B4-BE49-F238E27FC236}">
              <a16:creationId xmlns:a16="http://schemas.microsoft.com/office/drawing/2014/main" id="{00000000-0008-0000-01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813</xdr:row>
      <xdr:rowOff>428625</xdr:rowOff>
    </xdr:from>
    <xdr:ext cx="1438275" cy="1438275"/>
    <xdr:pic>
      <xdr:nvPicPr>
        <xdr:cNvPr id="1103" name="/xl/media/image170.png">
          <a:extLst>
            <a:ext uri="{FF2B5EF4-FFF2-40B4-BE49-F238E27FC236}">
              <a16:creationId xmlns:a16="http://schemas.microsoft.com/office/drawing/2014/main" id="{00000000-0008-0000-01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814</xdr:row>
      <xdr:rowOff>19050</xdr:rowOff>
    </xdr:from>
    <xdr:ext cx="647700" cy="647700"/>
    <xdr:pic>
      <xdr:nvPicPr>
        <xdr:cNvPr id="1104" name="/xl/media/image174.png">
          <a:extLst>
            <a:ext uri="{FF2B5EF4-FFF2-40B4-BE49-F238E27FC236}">
              <a16:creationId xmlns:a16="http://schemas.microsoft.com/office/drawing/2014/main" id="{00000000-0008-0000-01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815</xdr:row>
      <xdr:rowOff>9525</xdr:rowOff>
    </xdr:from>
    <xdr:ext cx="571500" cy="571500"/>
    <xdr:pic>
      <xdr:nvPicPr>
        <xdr:cNvPr id="1105" name="/xl/media/image172.png">
          <a:extLst>
            <a:ext uri="{FF2B5EF4-FFF2-40B4-BE49-F238E27FC236}">
              <a16:creationId xmlns:a16="http://schemas.microsoft.com/office/drawing/2014/main" id="{00000000-0008-0000-01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815</xdr:row>
      <xdr:rowOff>9525</xdr:rowOff>
    </xdr:from>
    <xdr:ext cx="571500" cy="571500"/>
    <xdr:pic>
      <xdr:nvPicPr>
        <xdr:cNvPr id="1106" name="/xl/media/image173.png">
          <a:extLst>
            <a:ext uri="{FF2B5EF4-FFF2-40B4-BE49-F238E27FC236}">
              <a16:creationId xmlns:a16="http://schemas.microsoft.com/office/drawing/2014/main" id="{00000000-0008-0000-01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820</xdr:row>
      <xdr:rowOff>428625</xdr:rowOff>
    </xdr:from>
    <xdr:ext cx="1438275" cy="1438275"/>
    <xdr:pic>
      <xdr:nvPicPr>
        <xdr:cNvPr id="1107" name="/xl/media/image169.png">
          <a:extLst>
            <a:ext uri="{FF2B5EF4-FFF2-40B4-BE49-F238E27FC236}">
              <a16:creationId xmlns:a16="http://schemas.microsoft.com/office/drawing/2014/main" id="{00000000-0008-0000-01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822</xdr:row>
      <xdr:rowOff>9525</xdr:rowOff>
    </xdr:from>
    <xdr:ext cx="571500" cy="571500"/>
    <xdr:pic>
      <xdr:nvPicPr>
        <xdr:cNvPr id="1108" name="/xl/media/image159.png">
          <a:extLst>
            <a:ext uri="{FF2B5EF4-FFF2-40B4-BE49-F238E27FC236}">
              <a16:creationId xmlns:a16="http://schemas.microsoft.com/office/drawing/2014/main" id="{00000000-0008-0000-01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822</xdr:row>
      <xdr:rowOff>9525</xdr:rowOff>
    </xdr:from>
    <xdr:ext cx="571500" cy="571500"/>
    <xdr:pic>
      <xdr:nvPicPr>
        <xdr:cNvPr id="1109" name="/xl/media/image160.png">
          <a:extLst>
            <a:ext uri="{FF2B5EF4-FFF2-40B4-BE49-F238E27FC236}">
              <a16:creationId xmlns:a16="http://schemas.microsoft.com/office/drawing/2014/main" id="{00000000-0008-0000-01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827</xdr:row>
      <xdr:rowOff>428625</xdr:rowOff>
    </xdr:from>
    <xdr:ext cx="1438275" cy="1438275"/>
    <xdr:pic>
      <xdr:nvPicPr>
        <xdr:cNvPr id="1110" name="/xl/media/image164.png">
          <a:extLst>
            <a:ext uri="{FF2B5EF4-FFF2-40B4-BE49-F238E27FC236}">
              <a16:creationId xmlns:a16="http://schemas.microsoft.com/office/drawing/2014/main" id="{00000000-0008-0000-01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828</xdr:row>
      <xdr:rowOff>19050</xdr:rowOff>
    </xdr:from>
    <xdr:ext cx="647700" cy="647700"/>
    <xdr:pic>
      <xdr:nvPicPr>
        <xdr:cNvPr id="1111" name="/xl/media/image175.png">
          <a:extLst>
            <a:ext uri="{FF2B5EF4-FFF2-40B4-BE49-F238E27FC236}">
              <a16:creationId xmlns:a16="http://schemas.microsoft.com/office/drawing/2014/main" id="{00000000-0008-0000-01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829</xdr:row>
      <xdr:rowOff>9525</xdr:rowOff>
    </xdr:from>
    <xdr:ext cx="571500" cy="571500"/>
    <xdr:pic>
      <xdr:nvPicPr>
        <xdr:cNvPr id="1112" name="/xl/media/image172.png">
          <a:extLst>
            <a:ext uri="{FF2B5EF4-FFF2-40B4-BE49-F238E27FC236}">
              <a16:creationId xmlns:a16="http://schemas.microsoft.com/office/drawing/2014/main" id="{00000000-0008-0000-01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829</xdr:row>
      <xdr:rowOff>9525</xdr:rowOff>
    </xdr:from>
    <xdr:ext cx="571500" cy="571500"/>
    <xdr:pic>
      <xdr:nvPicPr>
        <xdr:cNvPr id="1113" name="/xl/media/image173.png">
          <a:extLst>
            <a:ext uri="{FF2B5EF4-FFF2-40B4-BE49-F238E27FC236}">
              <a16:creationId xmlns:a16="http://schemas.microsoft.com/office/drawing/2014/main" id="{00000000-0008-0000-01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834</xdr:row>
      <xdr:rowOff>428625</xdr:rowOff>
    </xdr:from>
    <xdr:ext cx="1438275" cy="1438275"/>
    <xdr:pic>
      <xdr:nvPicPr>
        <xdr:cNvPr id="1114" name="/xl/media/image165.png">
          <a:extLst>
            <a:ext uri="{FF2B5EF4-FFF2-40B4-BE49-F238E27FC236}">
              <a16:creationId xmlns:a16="http://schemas.microsoft.com/office/drawing/2014/main" id="{00000000-0008-0000-01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835</xdr:row>
      <xdr:rowOff>19050</xdr:rowOff>
    </xdr:from>
    <xdr:ext cx="647700" cy="647700"/>
    <xdr:pic>
      <xdr:nvPicPr>
        <xdr:cNvPr id="1115" name="/xl/media/image175.png">
          <a:extLst>
            <a:ext uri="{FF2B5EF4-FFF2-40B4-BE49-F238E27FC236}">
              <a16:creationId xmlns:a16="http://schemas.microsoft.com/office/drawing/2014/main" id="{00000000-0008-0000-01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836</xdr:row>
      <xdr:rowOff>9525</xdr:rowOff>
    </xdr:from>
    <xdr:ext cx="571500" cy="571500"/>
    <xdr:pic>
      <xdr:nvPicPr>
        <xdr:cNvPr id="1116" name="/xl/media/image172.png">
          <a:extLst>
            <a:ext uri="{FF2B5EF4-FFF2-40B4-BE49-F238E27FC236}">
              <a16:creationId xmlns:a16="http://schemas.microsoft.com/office/drawing/2014/main" id="{00000000-0008-0000-01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836</xdr:row>
      <xdr:rowOff>9525</xdr:rowOff>
    </xdr:from>
    <xdr:ext cx="571500" cy="571500"/>
    <xdr:pic>
      <xdr:nvPicPr>
        <xdr:cNvPr id="1117" name="/xl/media/image173.png">
          <a:extLst>
            <a:ext uri="{FF2B5EF4-FFF2-40B4-BE49-F238E27FC236}">
              <a16:creationId xmlns:a16="http://schemas.microsoft.com/office/drawing/2014/main" id="{00000000-0008-0000-01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841</xdr:row>
      <xdr:rowOff>428625</xdr:rowOff>
    </xdr:from>
    <xdr:ext cx="1438275" cy="1438275"/>
    <xdr:pic>
      <xdr:nvPicPr>
        <xdr:cNvPr id="1118" name="/xl/media/image168.png">
          <a:extLst>
            <a:ext uri="{FF2B5EF4-FFF2-40B4-BE49-F238E27FC236}">
              <a16:creationId xmlns:a16="http://schemas.microsoft.com/office/drawing/2014/main" id="{00000000-0008-0000-01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842</xdr:row>
      <xdr:rowOff>19050</xdr:rowOff>
    </xdr:from>
    <xdr:ext cx="647700" cy="647700"/>
    <xdr:pic>
      <xdr:nvPicPr>
        <xdr:cNvPr id="1119" name="/xl/media/image176.png">
          <a:extLst>
            <a:ext uri="{FF2B5EF4-FFF2-40B4-BE49-F238E27FC236}">
              <a16:creationId xmlns:a16="http://schemas.microsoft.com/office/drawing/2014/main" id="{00000000-0008-0000-01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843</xdr:row>
      <xdr:rowOff>9525</xdr:rowOff>
    </xdr:from>
    <xdr:ext cx="571500" cy="571500"/>
    <xdr:pic>
      <xdr:nvPicPr>
        <xdr:cNvPr id="1120" name="/xl/media/image173.png">
          <a:extLst>
            <a:ext uri="{FF2B5EF4-FFF2-40B4-BE49-F238E27FC236}">
              <a16:creationId xmlns:a16="http://schemas.microsoft.com/office/drawing/2014/main" id="{00000000-0008-0000-01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848</xdr:row>
      <xdr:rowOff>428625</xdr:rowOff>
    </xdr:from>
    <xdr:ext cx="1438275" cy="1438275"/>
    <xdr:pic>
      <xdr:nvPicPr>
        <xdr:cNvPr id="1121" name="/xl/media/image166.png"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849</xdr:row>
      <xdr:rowOff>19050</xdr:rowOff>
    </xdr:from>
    <xdr:ext cx="647700" cy="647700"/>
    <xdr:pic>
      <xdr:nvPicPr>
        <xdr:cNvPr id="1122" name="/xl/media/image177.png"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850</xdr:row>
      <xdr:rowOff>9525</xdr:rowOff>
    </xdr:from>
    <xdr:ext cx="571500" cy="571500"/>
    <xdr:pic>
      <xdr:nvPicPr>
        <xdr:cNvPr id="1123" name="/xl/media/image172.png">
          <a:extLst>
            <a:ext uri="{FF2B5EF4-FFF2-40B4-BE49-F238E27FC236}">
              <a16:creationId xmlns:a16="http://schemas.microsoft.com/office/drawing/2014/main" id="{00000000-0008-0000-01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855</xdr:row>
      <xdr:rowOff>428625</xdr:rowOff>
    </xdr:from>
    <xdr:ext cx="1438275" cy="1438275"/>
    <xdr:pic>
      <xdr:nvPicPr>
        <xdr:cNvPr id="1124" name="/xl/media/image167.png">
          <a:extLst>
            <a:ext uri="{FF2B5EF4-FFF2-40B4-BE49-F238E27FC236}">
              <a16:creationId xmlns:a16="http://schemas.microsoft.com/office/drawing/2014/main" id="{00000000-0008-0000-01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856</xdr:row>
      <xdr:rowOff>19050</xdr:rowOff>
    </xdr:from>
    <xdr:ext cx="647700" cy="647700"/>
    <xdr:pic>
      <xdr:nvPicPr>
        <xdr:cNvPr id="1125" name="/xl/media/image178.png"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857</xdr:row>
      <xdr:rowOff>9525</xdr:rowOff>
    </xdr:from>
    <xdr:ext cx="571500" cy="571500"/>
    <xdr:pic>
      <xdr:nvPicPr>
        <xdr:cNvPr id="1126" name="/xl/media/image172.png"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862</xdr:row>
      <xdr:rowOff>428625</xdr:rowOff>
    </xdr:from>
    <xdr:ext cx="1438275" cy="1438275"/>
    <xdr:pic>
      <xdr:nvPicPr>
        <xdr:cNvPr id="1127" name="/xl/media/image162.png">
          <a:extLst>
            <a:ext uri="{FF2B5EF4-FFF2-40B4-BE49-F238E27FC236}">
              <a16:creationId xmlns:a16="http://schemas.microsoft.com/office/drawing/2014/main" id="{00000000-0008-0000-01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863</xdr:row>
      <xdr:rowOff>19050</xdr:rowOff>
    </xdr:from>
    <xdr:ext cx="647700" cy="647700"/>
    <xdr:pic>
      <xdr:nvPicPr>
        <xdr:cNvPr id="1128" name="/xl/media/image179.png">
          <a:extLst>
            <a:ext uri="{FF2B5EF4-FFF2-40B4-BE49-F238E27FC236}">
              <a16:creationId xmlns:a16="http://schemas.microsoft.com/office/drawing/2014/main" id="{00000000-0008-0000-01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864</xdr:row>
      <xdr:rowOff>9525</xdr:rowOff>
    </xdr:from>
    <xdr:ext cx="571500" cy="571500"/>
    <xdr:pic>
      <xdr:nvPicPr>
        <xdr:cNvPr id="1129" name="/xl/media/image159.png">
          <a:extLst>
            <a:ext uri="{FF2B5EF4-FFF2-40B4-BE49-F238E27FC236}">
              <a16:creationId xmlns:a16="http://schemas.microsoft.com/office/drawing/2014/main" id="{00000000-0008-0000-01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864</xdr:row>
      <xdr:rowOff>9525</xdr:rowOff>
    </xdr:from>
    <xdr:ext cx="571500" cy="571500"/>
    <xdr:pic>
      <xdr:nvPicPr>
        <xdr:cNvPr id="1130" name="/xl/media/image160.png">
          <a:extLst>
            <a:ext uri="{FF2B5EF4-FFF2-40B4-BE49-F238E27FC236}">
              <a16:creationId xmlns:a16="http://schemas.microsoft.com/office/drawing/2014/main" id="{00000000-0008-0000-01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864</xdr:row>
      <xdr:rowOff>9525</xdr:rowOff>
    </xdr:from>
    <xdr:ext cx="571500" cy="571500"/>
    <xdr:pic>
      <xdr:nvPicPr>
        <xdr:cNvPr id="1131" name="/xl/media/image159.png">
          <a:extLst>
            <a:ext uri="{FF2B5EF4-FFF2-40B4-BE49-F238E27FC236}">
              <a16:creationId xmlns:a16="http://schemas.microsoft.com/office/drawing/2014/main" id="{00000000-0008-0000-01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864</xdr:row>
      <xdr:rowOff>9525</xdr:rowOff>
    </xdr:from>
    <xdr:ext cx="571500" cy="571500"/>
    <xdr:pic>
      <xdr:nvPicPr>
        <xdr:cNvPr id="1132" name="/xl/media/image160.png">
          <a:extLst>
            <a:ext uri="{FF2B5EF4-FFF2-40B4-BE49-F238E27FC236}">
              <a16:creationId xmlns:a16="http://schemas.microsoft.com/office/drawing/2014/main" id="{00000000-0008-0000-01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869</xdr:row>
      <xdr:rowOff>428625</xdr:rowOff>
    </xdr:from>
    <xdr:ext cx="1438275" cy="1438275"/>
    <xdr:pic>
      <xdr:nvPicPr>
        <xdr:cNvPr id="1133" name="/xl/media/image163.png">
          <a:extLst>
            <a:ext uri="{FF2B5EF4-FFF2-40B4-BE49-F238E27FC236}">
              <a16:creationId xmlns:a16="http://schemas.microsoft.com/office/drawing/2014/main" id="{00000000-0008-0000-01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870</xdr:row>
      <xdr:rowOff>19050</xdr:rowOff>
    </xdr:from>
    <xdr:ext cx="647700" cy="647700"/>
    <xdr:pic>
      <xdr:nvPicPr>
        <xdr:cNvPr id="1134" name="/xl/media/image180.png">
          <a:extLst>
            <a:ext uri="{FF2B5EF4-FFF2-40B4-BE49-F238E27FC236}">
              <a16:creationId xmlns:a16="http://schemas.microsoft.com/office/drawing/2014/main" id="{00000000-0008-0000-01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871</xdr:row>
      <xdr:rowOff>9525</xdr:rowOff>
    </xdr:from>
    <xdr:ext cx="571500" cy="571500"/>
    <xdr:pic>
      <xdr:nvPicPr>
        <xdr:cNvPr id="1135" name="/xl/media/image172.png"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876</xdr:row>
      <xdr:rowOff>428625</xdr:rowOff>
    </xdr:from>
    <xdr:ext cx="1438275" cy="1438275"/>
    <xdr:pic>
      <xdr:nvPicPr>
        <xdr:cNvPr id="1136" name="/xl/media/image179.png">
          <a:extLst>
            <a:ext uri="{FF2B5EF4-FFF2-40B4-BE49-F238E27FC236}">
              <a16:creationId xmlns:a16="http://schemas.microsoft.com/office/drawing/2014/main" id="{00000000-0008-0000-01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877</xdr:row>
      <xdr:rowOff>19050</xdr:rowOff>
    </xdr:from>
    <xdr:ext cx="647700" cy="647700"/>
    <xdr:pic>
      <xdr:nvPicPr>
        <xdr:cNvPr id="1137" name="/xl/media/image181.png">
          <a:extLst>
            <a:ext uri="{FF2B5EF4-FFF2-40B4-BE49-F238E27FC236}">
              <a16:creationId xmlns:a16="http://schemas.microsoft.com/office/drawing/2014/main" id="{00000000-0008-0000-01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878</xdr:row>
      <xdr:rowOff>9525</xdr:rowOff>
    </xdr:from>
    <xdr:ext cx="571500" cy="571500"/>
    <xdr:pic>
      <xdr:nvPicPr>
        <xdr:cNvPr id="1138" name="/xl/media/image172.png">
          <a:extLst>
            <a:ext uri="{FF2B5EF4-FFF2-40B4-BE49-F238E27FC236}">
              <a16:creationId xmlns:a16="http://schemas.microsoft.com/office/drawing/2014/main" id="{00000000-0008-0000-01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878</xdr:row>
      <xdr:rowOff>9525</xdr:rowOff>
    </xdr:from>
    <xdr:ext cx="571500" cy="571500"/>
    <xdr:pic>
      <xdr:nvPicPr>
        <xdr:cNvPr id="1139" name="/xl/media/image173.png">
          <a:extLst>
            <a:ext uri="{FF2B5EF4-FFF2-40B4-BE49-F238E27FC236}">
              <a16:creationId xmlns:a16="http://schemas.microsoft.com/office/drawing/2014/main" id="{00000000-0008-0000-01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883</xdr:row>
      <xdr:rowOff>428625</xdr:rowOff>
    </xdr:from>
    <xdr:ext cx="1438275" cy="1438275"/>
    <xdr:pic>
      <xdr:nvPicPr>
        <xdr:cNvPr id="1140" name="/xl/media/image182.png">
          <a:extLst>
            <a:ext uri="{FF2B5EF4-FFF2-40B4-BE49-F238E27FC236}">
              <a16:creationId xmlns:a16="http://schemas.microsoft.com/office/drawing/2014/main" id="{00000000-0008-0000-01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885</xdr:row>
      <xdr:rowOff>9525</xdr:rowOff>
    </xdr:from>
    <xdr:ext cx="571500" cy="571500"/>
    <xdr:pic>
      <xdr:nvPicPr>
        <xdr:cNvPr id="1141" name="/xl/media/image172.png">
          <a:extLst>
            <a:ext uri="{FF2B5EF4-FFF2-40B4-BE49-F238E27FC236}">
              <a16:creationId xmlns:a16="http://schemas.microsoft.com/office/drawing/2014/main" id="{00000000-0008-0000-01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885</xdr:row>
      <xdr:rowOff>9525</xdr:rowOff>
    </xdr:from>
    <xdr:ext cx="571500" cy="571500"/>
    <xdr:pic>
      <xdr:nvPicPr>
        <xdr:cNvPr id="1142" name="/xl/media/image173.png">
          <a:extLst>
            <a:ext uri="{FF2B5EF4-FFF2-40B4-BE49-F238E27FC236}">
              <a16:creationId xmlns:a16="http://schemas.microsoft.com/office/drawing/2014/main" id="{00000000-0008-0000-01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890</xdr:row>
      <xdr:rowOff>428625</xdr:rowOff>
    </xdr:from>
    <xdr:ext cx="1438275" cy="1438275"/>
    <xdr:pic>
      <xdr:nvPicPr>
        <xdr:cNvPr id="1143" name="/xl/media/image183.png">
          <a:extLst>
            <a:ext uri="{FF2B5EF4-FFF2-40B4-BE49-F238E27FC236}">
              <a16:creationId xmlns:a16="http://schemas.microsoft.com/office/drawing/2014/main" id="{00000000-0008-0000-01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892</xdr:row>
      <xdr:rowOff>9525</xdr:rowOff>
    </xdr:from>
    <xdr:ext cx="571500" cy="571500"/>
    <xdr:pic>
      <xdr:nvPicPr>
        <xdr:cNvPr id="1144" name="/xl/media/image172.png">
          <a:extLst>
            <a:ext uri="{FF2B5EF4-FFF2-40B4-BE49-F238E27FC236}">
              <a16:creationId xmlns:a16="http://schemas.microsoft.com/office/drawing/2014/main" id="{00000000-0008-0000-01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892</xdr:row>
      <xdr:rowOff>9525</xdr:rowOff>
    </xdr:from>
    <xdr:ext cx="571500" cy="571500"/>
    <xdr:pic>
      <xdr:nvPicPr>
        <xdr:cNvPr id="1145" name="/xl/media/image173.png">
          <a:extLst>
            <a:ext uri="{FF2B5EF4-FFF2-40B4-BE49-F238E27FC236}">
              <a16:creationId xmlns:a16="http://schemas.microsoft.com/office/drawing/2014/main" id="{00000000-0008-0000-01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5</xdr:col>
      <xdr:colOff>12700</xdr:colOff>
      <xdr:row>1</xdr:row>
      <xdr:rowOff>12700</xdr:rowOff>
    </xdr:from>
    <xdr:to>
      <xdr:col>7</xdr:col>
      <xdr:colOff>673100</xdr:colOff>
      <xdr:row>1</xdr:row>
      <xdr:rowOff>168275</xdr:rowOff>
    </xdr:to>
    <xdr:sp macro="[0]!SelectBarterOffer" textlink="">
      <xdr:nvSpPr>
        <xdr:cNvPr id="1536" name="BarterBtn_2_2_1" descr="5|2|1">
          <a:extLst>
            <a:ext uri="{FF2B5EF4-FFF2-40B4-BE49-F238E27FC236}">
              <a16:creationId xmlns:a16="http://schemas.microsoft.com/office/drawing/2014/main" id="{C8AD0CA8-9F79-23A6-E760-E67F85F2945B}"/>
            </a:ext>
          </a:extLst>
        </xdr:cNvPr>
        <xdr:cNvSpPr/>
      </xdr:nvSpPr>
      <xdr:spPr>
        <a:xfrm>
          <a:off x="59563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</xdr:row>
      <xdr:rowOff>12700</xdr:rowOff>
    </xdr:from>
    <xdr:to>
      <xdr:col>10</xdr:col>
      <xdr:colOff>673100</xdr:colOff>
      <xdr:row>1</xdr:row>
      <xdr:rowOff>168275</xdr:rowOff>
    </xdr:to>
    <xdr:sp macro="[0]!SelectBarterOffer" textlink="">
      <xdr:nvSpPr>
        <xdr:cNvPr id="1537" name="BarterBtn_2_2_2" descr="5|2|2">
          <a:extLst>
            <a:ext uri="{FF2B5EF4-FFF2-40B4-BE49-F238E27FC236}">
              <a16:creationId xmlns:a16="http://schemas.microsoft.com/office/drawing/2014/main" id="{248BD52F-2CE1-0F15-CC7B-7203F95E7D7A}"/>
            </a:ext>
          </a:extLst>
        </xdr:cNvPr>
        <xdr:cNvSpPr/>
      </xdr:nvSpPr>
      <xdr:spPr>
        <a:xfrm>
          <a:off x="80137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</xdr:row>
      <xdr:rowOff>12700</xdr:rowOff>
    </xdr:from>
    <xdr:to>
      <xdr:col>7</xdr:col>
      <xdr:colOff>673100</xdr:colOff>
      <xdr:row>8</xdr:row>
      <xdr:rowOff>168275</xdr:rowOff>
    </xdr:to>
    <xdr:sp macro="[0]!SelectBarterOffer" textlink="">
      <xdr:nvSpPr>
        <xdr:cNvPr id="1538" name="BarterBtn_2_9_1" descr="5|9|1">
          <a:extLst>
            <a:ext uri="{FF2B5EF4-FFF2-40B4-BE49-F238E27FC236}">
              <a16:creationId xmlns:a16="http://schemas.microsoft.com/office/drawing/2014/main" id="{1DA6F3FA-8CF2-8E35-A672-BFABF9DFBFA9}"/>
            </a:ext>
          </a:extLst>
        </xdr:cNvPr>
        <xdr:cNvSpPr/>
      </xdr:nvSpPr>
      <xdr:spPr>
        <a:xfrm>
          <a:off x="5956300" y="3117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</xdr:row>
      <xdr:rowOff>12700</xdr:rowOff>
    </xdr:from>
    <xdr:to>
      <xdr:col>10</xdr:col>
      <xdr:colOff>673100</xdr:colOff>
      <xdr:row>8</xdr:row>
      <xdr:rowOff>168275</xdr:rowOff>
    </xdr:to>
    <xdr:sp macro="[0]!SelectBarterOffer" textlink="">
      <xdr:nvSpPr>
        <xdr:cNvPr id="1539" name="BarterBtn_2_9_2" descr="5|9|2">
          <a:extLst>
            <a:ext uri="{FF2B5EF4-FFF2-40B4-BE49-F238E27FC236}">
              <a16:creationId xmlns:a16="http://schemas.microsoft.com/office/drawing/2014/main" id="{007ED49A-1419-9D04-E388-8382FF0B6C14}"/>
            </a:ext>
          </a:extLst>
        </xdr:cNvPr>
        <xdr:cNvSpPr/>
      </xdr:nvSpPr>
      <xdr:spPr>
        <a:xfrm>
          <a:off x="8013700" y="3117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15</xdr:row>
      <xdr:rowOff>12700</xdr:rowOff>
    </xdr:from>
    <xdr:to>
      <xdr:col>7</xdr:col>
      <xdr:colOff>673100</xdr:colOff>
      <xdr:row>15</xdr:row>
      <xdr:rowOff>168275</xdr:rowOff>
    </xdr:to>
    <xdr:sp macro="[0]!SelectBarterOffer" textlink="">
      <xdr:nvSpPr>
        <xdr:cNvPr id="1540" name="BarterBtn_2_16_1" descr="5|16|1">
          <a:extLst>
            <a:ext uri="{FF2B5EF4-FFF2-40B4-BE49-F238E27FC236}">
              <a16:creationId xmlns:a16="http://schemas.microsoft.com/office/drawing/2014/main" id="{6D2E8B09-B651-C5DB-529D-6BE865ABD115}"/>
            </a:ext>
          </a:extLst>
        </xdr:cNvPr>
        <xdr:cNvSpPr/>
      </xdr:nvSpPr>
      <xdr:spPr>
        <a:xfrm>
          <a:off x="5956300" y="5870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22</xdr:row>
      <xdr:rowOff>12700</xdr:rowOff>
    </xdr:from>
    <xdr:to>
      <xdr:col>7</xdr:col>
      <xdr:colOff>673100</xdr:colOff>
      <xdr:row>22</xdr:row>
      <xdr:rowOff>168275</xdr:rowOff>
    </xdr:to>
    <xdr:sp macro="[0]!SelectBarterOffer" textlink="">
      <xdr:nvSpPr>
        <xdr:cNvPr id="1541" name="BarterBtn_2_23_1" descr="5|23|1">
          <a:extLst>
            <a:ext uri="{FF2B5EF4-FFF2-40B4-BE49-F238E27FC236}">
              <a16:creationId xmlns:a16="http://schemas.microsoft.com/office/drawing/2014/main" id="{20019332-6D12-1B21-F8B1-0D52A73749DC}"/>
            </a:ext>
          </a:extLst>
        </xdr:cNvPr>
        <xdr:cNvSpPr/>
      </xdr:nvSpPr>
      <xdr:spPr>
        <a:xfrm>
          <a:off x="5956300" y="8623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29</xdr:row>
      <xdr:rowOff>12700</xdr:rowOff>
    </xdr:from>
    <xdr:to>
      <xdr:col>7</xdr:col>
      <xdr:colOff>673100</xdr:colOff>
      <xdr:row>29</xdr:row>
      <xdr:rowOff>168275</xdr:rowOff>
    </xdr:to>
    <xdr:sp macro="[0]!SelectBarterOffer" textlink="">
      <xdr:nvSpPr>
        <xdr:cNvPr id="1542" name="BarterBtn_2_30_1" descr="5|30|1">
          <a:extLst>
            <a:ext uri="{FF2B5EF4-FFF2-40B4-BE49-F238E27FC236}">
              <a16:creationId xmlns:a16="http://schemas.microsoft.com/office/drawing/2014/main" id="{7F4E06D0-ABAA-723B-31ED-632C100BF84E}"/>
            </a:ext>
          </a:extLst>
        </xdr:cNvPr>
        <xdr:cNvSpPr/>
      </xdr:nvSpPr>
      <xdr:spPr>
        <a:xfrm>
          <a:off x="5956300" y="11376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</xdr:row>
      <xdr:rowOff>12700</xdr:rowOff>
    </xdr:from>
    <xdr:to>
      <xdr:col>7</xdr:col>
      <xdr:colOff>673100</xdr:colOff>
      <xdr:row>36</xdr:row>
      <xdr:rowOff>168275</xdr:rowOff>
    </xdr:to>
    <xdr:sp macro="[0]!SelectBarterOffer" textlink="">
      <xdr:nvSpPr>
        <xdr:cNvPr id="1543" name="BarterBtn_2_37_1" descr="5|37|1">
          <a:extLst>
            <a:ext uri="{FF2B5EF4-FFF2-40B4-BE49-F238E27FC236}">
              <a16:creationId xmlns:a16="http://schemas.microsoft.com/office/drawing/2014/main" id="{F88B8F85-F80B-A614-A49D-947E2ECB41FD}"/>
            </a:ext>
          </a:extLst>
        </xdr:cNvPr>
        <xdr:cNvSpPr/>
      </xdr:nvSpPr>
      <xdr:spPr>
        <a:xfrm>
          <a:off x="5956300" y="14128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</xdr:row>
      <xdr:rowOff>12700</xdr:rowOff>
    </xdr:from>
    <xdr:to>
      <xdr:col>7</xdr:col>
      <xdr:colOff>673100</xdr:colOff>
      <xdr:row>43</xdr:row>
      <xdr:rowOff>168275</xdr:rowOff>
    </xdr:to>
    <xdr:sp macro="[0]!SelectBarterOffer" textlink="">
      <xdr:nvSpPr>
        <xdr:cNvPr id="1544" name="BarterBtn_2_44_1" descr="5|44|1">
          <a:extLst>
            <a:ext uri="{FF2B5EF4-FFF2-40B4-BE49-F238E27FC236}">
              <a16:creationId xmlns:a16="http://schemas.microsoft.com/office/drawing/2014/main" id="{00A4CD6C-49A9-8201-A78A-7EBCEC927778}"/>
            </a:ext>
          </a:extLst>
        </xdr:cNvPr>
        <xdr:cNvSpPr/>
      </xdr:nvSpPr>
      <xdr:spPr>
        <a:xfrm>
          <a:off x="5956300" y="16881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</xdr:row>
      <xdr:rowOff>12700</xdr:rowOff>
    </xdr:from>
    <xdr:to>
      <xdr:col>7</xdr:col>
      <xdr:colOff>673100</xdr:colOff>
      <xdr:row>50</xdr:row>
      <xdr:rowOff>168275</xdr:rowOff>
    </xdr:to>
    <xdr:sp macro="[0]!SelectBarterOffer" textlink="">
      <xdr:nvSpPr>
        <xdr:cNvPr id="1545" name="BarterBtn_2_51_1" descr="5|51|1">
          <a:extLst>
            <a:ext uri="{FF2B5EF4-FFF2-40B4-BE49-F238E27FC236}">
              <a16:creationId xmlns:a16="http://schemas.microsoft.com/office/drawing/2014/main" id="{7746B2F1-204A-3B49-76CC-754546F3A1F3}"/>
            </a:ext>
          </a:extLst>
        </xdr:cNvPr>
        <xdr:cNvSpPr/>
      </xdr:nvSpPr>
      <xdr:spPr>
        <a:xfrm>
          <a:off x="59563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50</xdr:row>
      <xdr:rowOff>12700</xdr:rowOff>
    </xdr:from>
    <xdr:to>
      <xdr:col>10</xdr:col>
      <xdr:colOff>673100</xdr:colOff>
      <xdr:row>50</xdr:row>
      <xdr:rowOff>168275</xdr:rowOff>
    </xdr:to>
    <xdr:sp macro="[0]!SelectBarterOffer" textlink="">
      <xdr:nvSpPr>
        <xdr:cNvPr id="1546" name="BarterBtn_2_51_2" descr="5|51|2">
          <a:extLst>
            <a:ext uri="{FF2B5EF4-FFF2-40B4-BE49-F238E27FC236}">
              <a16:creationId xmlns:a16="http://schemas.microsoft.com/office/drawing/2014/main" id="{419DD177-568F-923A-63A0-C03FCD9B62B2}"/>
            </a:ext>
          </a:extLst>
        </xdr:cNvPr>
        <xdr:cNvSpPr/>
      </xdr:nvSpPr>
      <xdr:spPr>
        <a:xfrm>
          <a:off x="80137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57</xdr:row>
      <xdr:rowOff>12700</xdr:rowOff>
    </xdr:from>
    <xdr:to>
      <xdr:col>7</xdr:col>
      <xdr:colOff>673100</xdr:colOff>
      <xdr:row>57</xdr:row>
      <xdr:rowOff>168275</xdr:rowOff>
    </xdr:to>
    <xdr:sp macro="[0]!SelectBarterOffer" textlink="">
      <xdr:nvSpPr>
        <xdr:cNvPr id="1547" name="BarterBtn_2_58_1" descr="5|58|1">
          <a:extLst>
            <a:ext uri="{FF2B5EF4-FFF2-40B4-BE49-F238E27FC236}">
              <a16:creationId xmlns:a16="http://schemas.microsoft.com/office/drawing/2014/main" id="{B86956D4-7802-EF5B-5A4A-E4DF108820D5}"/>
            </a:ext>
          </a:extLst>
        </xdr:cNvPr>
        <xdr:cNvSpPr/>
      </xdr:nvSpPr>
      <xdr:spPr>
        <a:xfrm>
          <a:off x="59563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64</xdr:row>
      <xdr:rowOff>12700</xdr:rowOff>
    </xdr:from>
    <xdr:to>
      <xdr:col>7</xdr:col>
      <xdr:colOff>673100</xdr:colOff>
      <xdr:row>64</xdr:row>
      <xdr:rowOff>168275</xdr:rowOff>
    </xdr:to>
    <xdr:sp macro="[0]!SelectBarterOffer" textlink="">
      <xdr:nvSpPr>
        <xdr:cNvPr id="1548" name="BarterBtn_2_65_1" descr="5|65|1">
          <a:extLst>
            <a:ext uri="{FF2B5EF4-FFF2-40B4-BE49-F238E27FC236}">
              <a16:creationId xmlns:a16="http://schemas.microsoft.com/office/drawing/2014/main" id="{2FF2B151-0975-630C-B155-AC5F311ED839}"/>
            </a:ext>
          </a:extLst>
        </xdr:cNvPr>
        <xdr:cNvSpPr/>
      </xdr:nvSpPr>
      <xdr:spPr>
        <a:xfrm>
          <a:off x="59563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71</xdr:row>
      <xdr:rowOff>12700</xdr:rowOff>
    </xdr:from>
    <xdr:to>
      <xdr:col>7</xdr:col>
      <xdr:colOff>673100</xdr:colOff>
      <xdr:row>71</xdr:row>
      <xdr:rowOff>168275</xdr:rowOff>
    </xdr:to>
    <xdr:sp macro="[0]!SelectBarterOffer" textlink="">
      <xdr:nvSpPr>
        <xdr:cNvPr id="1549" name="BarterBtn_2_72_1" descr="5|72|1">
          <a:extLst>
            <a:ext uri="{FF2B5EF4-FFF2-40B4-BE49-F238E27FC236}">
              <a16:creationId xmlns:a16="http://schemas.microsoft.com/office/drawing/2014/main" id="{3FC8A757-BB36-1339-6D06-FE40B44D5C91}"/>
            </a:ext>
          </a:extLst>
        </xdr:cNvPr>
        <xdr:cNvSpPr/>
      </xdr:nvSpPr>
      <xdr:spPr>
        <a:xfrm>
          <a:off x="59563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78</xdr:row>
      <xdr:rowOff>12700</xdr:rowOff>
    </xdr:from>
    <xdr:to>
      <xdr:col>7</xdr:col>
      <xdr:colOff>673100</xdr:colOff>
      <xdr:row>78</xdr:row>
      <xdr:rowOff>168275</xdr:rowOff>
    </xdr:to>
    <xdr:sp macro="[0]!SelectBarterOffer" textlink="">
      <xdr:nvSpPr>
        <xdr:cNvPr id="1550" name="BarterBtn_2_79_1" descr="5|79|1">
          <a:extLst>
            <a:ext uri="{FF2B5EF4-FFF2-40B4-BE49-F238E27FC236}">
              <a16:creationId xmlns:a16="http://schemas.microsoft.com/office/drawing/2014/main" id="{74907850-E298-EDAE-F912-00EAB70889DC}"/>
            </a:ext>
          </a:extLst>
        </xdr:cNvPr>
        <xdr:cNvSpPr/>
      </xdr:nvSpPr>
      <xdr:spPr>
        <a:xfrm>
          <a:off x="59563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85</xdr:row>
      <xdr:rowOff>12700</xdr:rowOff>
    </xdr:from>
    <xdr:to>
      <xdr:col>7</xdr:col>
      <xdr:colOff>673100</xdr:colOff>
      <xdr:row>85</xdr:row>
      <xdr:rowOff>168275</xdr:rowOff>
    </xdr:to>
    <xdr:sp macro="[0]!SelectBarterOffer" textlink="">
      <xdr:nvSpPr>
        <xdr:cNvPr id="1551" name="BarterBtn_2_86_1" descr="5|86|1">
          <a:extLst>
            <a:ext uri="{FF2B5EF4-FFF2-40B4-BE49-F238E27FC236}">
              <a16:creationId xmlns:a16="http://schemas.microsoft.com/office/drawing/2014/main" id="{426D733D-629F-95A4-7BE5-24F849627EA4}"/>
            </a:ext>
          </a:extLst>
        </xdr:cNvPr>
        <xdr:cNvSpPr/>
      </xdr:nvSpPr>
      <xdr:spPr>
        <a:xfrm>
          <a:off x="59563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85</xdr:row>
      <xdr:rowOff>12700</xdr:rowOff>
    </xdr:from>
    <xdr:to>
      <xdr:col>10</xdr:col>
      <xdr:colOff>673100</xdr:colOff>
      <xdr:row>85</xdr:row>
      <xdr:rowOff>168275</xdr:rowOff>
    </xdr:to>
    <xdr:sp macro="[0]!SelectBarterOffer" textlink="">
      <xdr:nvSpPr>
        <xdr:cNvPr id="1552" name="BarterBtn_2_86_2" descr="5|86|2">
          <a:extLst>
            <a:ext uri="{FF2B5EF4-FFF2-40B4-BE49-F238E27FC236}">
              <a16:creationId xmlns:a16="http://schemas.microsoft.com/office/drawing/2014/main" id="{0B2DB77F-6215-660C-4808-EAD2C7A080B1}"/>
            </a:ext>
          </a:extLst>
        </xdr:cNvPr>
        <xdr:cNvSpPr/>
      </xdr:nvSpPr>
      <xdr:spPr>
        <a:xfrm>
          <a:off x="80137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92</xdr:row>
      <xdr:rowOff>12700</xdr:rowOff>
    </xdr:from>
    <xdr:to>
      <xdr:col>7</xdr:col>
      <xdr:colOff>673100</xdr:colOff>
      <xdr:row>92</xdr:row>
      <xdr:rowOff>168275</xdr:rowOff>
    </xdr:to>
    <xdr:sp macro="[0]!SelectBarterOffer" textlink="">
      <xdr:nvSpPr>
        <xdr:cNvPr id="1553" name="BarterBtn_2_93_1" descr="5|93|1">
          <a:extLst>
            <a:ext uri="{FF2B5EF4-FFF2-40B4-BE49-F238E27FC236}">
              <a16:creationId xmlns:a16="http://schemas.microsoft.com/office/drawing/2014/main" id="{968E206A-7CF6-C61E-6A00-22181B74434B}"/>
            </a:ext>
          </a:extLst>
        </xdr:cNvPr>
        <xdr:cNvSpPr/>
      </xdr:nvSpPr>
      <xdr:spPr>
        <a:xfrm>
          <a:off x="59563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99</xdr:row>
      <xdr:rowOff>12700</xdr:rowOff>
    </xdr:from>
    <xdr:to>
      <xdr:col>7</xdr:col>
      <xdr:colOff>673100</xdr:colOff>
      <xdr:row>99</xdr:row>
      <xdr:rowOff>168275</xdr:rowOff>
    </xdr:to>
    <xdr:sp macro="[0]!SelectBarterOffer" textlink="">
      <xdr:nvSpPr>
        <xdr:cNvPr id="1554" name="BarterBtn_2_100_1" descr="5|100|1">
          <a:extLst>
            <a:ext uri="{FF2B5EF4-FFF2-40B4-BE49-F238E27FC236}">
              <a16:creationId xmlns:a16="http://schemas.microsoft.com/office/drawing/2014/main" id="{62E1622E-DBDC-E165-7698-F53CB0F446E1}"/>
            </a:ext>
          </a:extLst>
        </xdr:cNvPr>
        <xdr:cNvSpPr/>
      </xdr:nvSpPr>
      <xdr:spPr>
        <a:xfrm>
          <a:off x="59563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106</xdr:row>
      <xdr:rowOff>12700</xdr:rowOff>
    </xdr:from>
    <xdr:to>
      <xdr:col>7</xdr:col>
      <xdr:colOff>673100</xdr:colOff>
      <xdr:row>106</xdr:row>
      <xdr:rowOff>168275</xdr:rowOff>
    </xdr:to>
    <xdr:sp macro="[0]!SelectBarterOffer" textlink="">
      <xdr:nvSpPr>
        <xdr:cNvPr id="1555" name="BarterBtn_2_107_1" descr="5|107|1">
          <a:extLst>
            <a:ext uri="{FF2B5EF4-FFF2-40B4-BE49-F238E27FC236}">
              <a16:creationId xmlns:a16="http://schemas.microsoft.com/office/drawing/2014/main" id="{C230EB7C-7473-2C57-1DA7-2AE695AD85D9}"/>
            </a:ext>
          </a:extLst>
        </xdr:cNvPr>
        <xdr:cNvSpPr/>
      </xdr:nvSpPr>
      <xdr:spPr>
        <a:xfrm>
          <a:off x="59563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106</xdr:row>
      <xdr:rowOff>12700</xdr:rowOff>
    </xdr:from>
    <xdr:to>
      <xdr:col>10</xdr:col>
      <xdr:colOff>673100</xdr:colOff>
      <xdr:row>106</xdr:row>
      <xdr:rowOff>168275</xdr:rowOff>
    </xdr:to>
    <xdr:sp macro="[0]!SelectBarterOffer" textlink="">
      <xdr:nvSpPr>
        <xdr:cNvPr id="1556" name="BarterBtn_2_107_2" descr="5|107|2">
          <a:extLst>
            <a:ext uri="{FF2B5EF4-FFF2-40B4-BE49-F238E27FC236}">
              <a16:creationId xmlns:a16="http://schemas.microsoft.com/office/drawing/2014/main" id="{6F2430EE-C1C0-0713-10B1-DF1536E8C500}"/>
            </a:ext>
          </a:extLst>
        </xdr:cNvPr>
        <xdr:cNvSpPr/>
      </xdr:nvSpPr>
      <xdr:spPr>
        <a:xfrm>
          <a:off x="80137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113</xdr:row>
      <xdr:rowOff>12700</xdr:rowOff>
    </xdr:from>
    <xdr:to>
      <xdr:col>7</xdr:col>
      <xdr:colOff>673100</xdr:colOff>
      <xdr:row>113</xdr:row>
      <xdr:rowOff>168275</xdr:rowOff>
    </xdr:to>
    <xdr:sp macro="[0]!SelectBarterOffer" textlink="">
      <xdr:nvSpPr>
        <xdr:cNvPr id="1557" name="BarterBtn_2_114_1" descr="5|114|1">
          <a:extLst>
            <a:ext uri="{FF2B5EF4-FFF2-40B4-BE49-F238E27FC236}">
              <a16:creationId xmlns:a16="http://schemas.microsoft.com/office/drawing/2014/main" id="{E12FBA12-26C8-56FA-E920-88DF6547074B}"/>
            </a:ext>
          </a:extLst>
        </xdr:cNvPr>
        <xdr:cNvSpPr/>
      </xdr:nvSpPr>
      <xdr:spPr>
        <a:xfrm>
          <a:off x="5956300" y="44408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120</xdr:row>
      <xdr:rowOff>12700</xdr:rowOff>
    </xdr:from>
    <xdr:to>
      <xdr:col>7</xdr:col>
      <xdr:colOff>673100</xdr:colOff>
      <xdr:row>120</xdr:row>
      <xdr:rowOff>168275</xdr:rowOff>
    </xdr:to>
    <xdr:sp macro="[0]!SelectBarterOffer" textlink="">
      <xdr:nvSpPr>
        <xdr:cNvPr id="1558" name="BarterBtn_2_121_1" descr="5|121|1">
          <a:extLst>
            <a:ext uri="{FF2B5EF4-FFF2-40B4-BE49-F238E27FC236}">
              <a16:creationId xmlns:a16="http://schemas.microsoft.com/office/drawing/2014/main" id="{CE05138A-4600-DBFB-2C68-4EB5FB543179}"/>
            </a:ext>
          </a:extLst>
        </xdr:cNvPr>
        <xdr:cNvSpPr/>
      </xdr:nvSpPr>
      <xdr:spPr>
        <a:xfrm>
          <a:off x="5956300" y="47161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127</xdr:row>
      <xdr:rowOff>12700</xdr:rowOff>
    </xdr:from>
    <xdr:to>
      <xdr:col>7</xdr:col>
      <xdr:colOff>673100</xdr:colOff>
      <xdr:row>127</xdr:row>
      <xdr:rowOff>168275</xdr:rowOff>
    </xdr:to>
    <xdr:sp macro="[0]!SelectBarterOffer" textlink="">
      <xdr:nvSpPr>
        <xdr:cNvPr id="1559" name="BarterBtn_2_128_1" descr="5|128|1">
          <a:extLst>
            <a:ext uri="{FF2B5EF4-FFF2-40B4-BE49-F238E27FC236}">
              <a16:creationId xmlns:a16="http://schemas.microsoft.com/office/drawing/2014/main" id="{D48AF25C-7F88-8586-644E-A3D593E0CE3C}"/>
            </a:ext>
          </a:extLst>
        </xdr:cNvPr>
        <xdr:cNvSpPr/>
      </xdr:nvSpPr>
      <xdr:spPr>
        <a:xfrm>
          <a:off x="5956300" y="49914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134</xdr:row>
      <xdr:rowOff>12700</xdr:rowOff>
    </xdr:from>
    <xdr:to>
      <xdr:col>7</xdr:col>
      <xdr:colOff>673100</xdr:colOff>
      <xdr:row>134</xdr:row>
      <xdr:rowOff>168275</xdr:rowOff>
    </xdr:to>
    <xdr:sp macro="[0]!SelectBarterOffer" textlink="">
      <xdr:nvSpPr>
        <xdr:cNvPr id="1560" name="BarterBtn_2_135_1" descr="5|135|1">
          <a:extLst>
            <a:ext uri="{FF2B5EF4-FFF2-40B4-BE49-F238E27FC236}">
              <a16:creationId xmlns:a16="http://schemas.microsoft.com/office/drawing/2014/main" id="{3DFC2703-1DE4-CECE-05CD-CC8CA0972E05}"/>
            </a:ext>
          </a:extLst>
        </xdr:cNvPr>
        <xdr:cNvSpPr/>
      </xdr:nvSpPr>
      <xdr:spPr>
        <a:xfrm>
          <a:off x="5956300" y="52666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141</xdr:row>
      <xdr:rowOff>12700</xdr:rowOff>
    </xdr:from>
    <xdr:to>
      <xdr:col>7</xdr:col>
      <xdr:colOff>673100</xdr:colOff>
      <xdr:row>141</xdr:row>
      <xdr:rowOff>168275</xdr:rowOff>
    </xdr:to>
    <xdr:sp macro="[0]!SelectBarterOffer" textlink="">
      <xdr:nvSpPr>
        <xdr:cNvPr id="1561" name="BarterBtn_2_142_1" descr="5|142|1">
          <a:extLst>
            <a:ext uri="{FF2B5EF4-FFF2-40B4-BE49-F238E27FC236}">
              <a16:creationId xmlns:a16="http://schemas.microsoft.com/office/drawing/2014/main" id="{5316C809-DD4A-0A0D-CE26-EFE395A074E3}"/>
            </a:ext>
          </a:extLst>
        </xdr:cNvPr>
        <xdr:cNvSpPr/>
      </xdr:nvSpPr>
      <xdr:spPr>
        <a:xfrm>
          <a:off x="5956300" y="55419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148</xdr:row>
      <xdr:rowOff>12700</xdr:rowOff>
    </xdr:from>
    <xdr:to>
      <xdr:col>7</xdr:col>
      <xdr:colOff>673100</xdr:colOff>
      <xdr:row>148</xdr:row>
      <xdr:rowOff>168275</xdr:rowOff>
    </xdr:to>
    <xdr:sp macro="[0]!SelectBarterOffer" textlink="">
      <xdr:nvSpPr>
        <xdr:cNvPr id="1562" name="BarterBtn_2_149_1" descr="5|149|1">
          <a:extLst>
            <a:ext uri="{FF2B5EF4-FFF2-40B4-BE49-F238E27FC236}">
              <a16:creationId xmlns:a16="http://schemas.microsoft.com/office/drawing/2014/main" id="{F87075BB-0915-853E-947C-E9CBB30B5900}"/>
            </a:ext>
          </a:extLst>
        </xdr:cNvPr>
        <xdr:cNvSpPr/>
      </xdr:nvSpPr>
      <xdr:spPr>
        <a:xfrm>
          <a:off x="59563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155</xdr:row>
      <xdr:rowOff>12700</xdr:rowOff>
    </xdr:from>
    <xdr:to>
      <xdr:col>7</xdr:col>
      <xdr:colOff>673100</xdr:colOff>
      <xdr:row>155</xdr:row>
      <xdr:rowOff>168275</xdr:rowOff>
    </xdr:to>
    <xdr:sp macro="[0]!SelectBarterOffer" textlink="">
      <xdr:nvSpPr>
        <xdr:cNvPr id="1563" name="BarterBtn_2_156_1" descr="5|156|1">
          <a:extLst>
            <a:ext uri="{FF2B5EF4-FFF2-40B4-BE49-F238E27FC236}">
              <a16:creationId xmlns:a16="http://schemas.microsoft.com/office/drawing/2014/main" id="{5920FE54-79B5-D042-4A41-B65B5AA300A0}"/>
            </a:ext>
          </a:extLst>
        </xdr:cNvPr>
        <xdr:cNvSpPr/>
      </xdr:nvSpPr>
      <xdr:spPr>
        <a:xfrm>
          <a:off x="59563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162</xdr:row>
      <xdr:rowOff>12700</xdr:rowOff>
    </xdr:from>
    <xdr:to>
      <xdr:col>7</xdr:col>
      <xdr:colOff>673100</xdr:colOff>
      <xdr:row>162</xdr:row>
      <xdr:rowOff>168275</xdr:rowOff>
    </xdr:to>
    <xdr:sp macro="[0]!SelectBarterOffer" textlink="">
      <xdr:nvSpPr>
        <xdr:cNvPr id="1742" name="BarterBtn_2_163_1" descr="5|163|1">
          <a:extLst>
            <a:ext uri="{FF2B5EF4-FFF2-40B4-BE49-F238E27FC236}">
              <a16:creationId xmlns:a16="http://schemas.microsoft.com/office/drawing/2014/main" id="{39A515B9-E19F-7B28-6175-52F8348FC0DF}"/>
            </a:ext>
          </a:extLst>
        </xdr:cNvPr>
        <xdr:cNvSpPr/>
      </xdr:nvSpPr>
      <xdr:spPr>
        <a:xfrm>
          <a:off x="59563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169</xdr:row>
      <xdr:rowOff>12700</xdr:rowOff>
    </xdr:from>
    <xdr:to>
      <xdr:col>7</xdr:col>
      <xdr:colOff>673100</xdr:colOff>
      <xdr:row>169</xdr:row>
      <xdr:rowOff>168275</xdr:rowOff>
    </xdr:to>
    <xdr:sp macro="[0]!SelectBarterOffer" textlink="">
      <xdr:nvSpPr>
        <xdr:cNvPr id="1743" name="BarterBtn_2_170_1" descr="5|170|1">
          <a:extLst>
            <a:ext uri="{FF2B5EF4-FFF2-40B4-BE49-F238E27FC236}">
              <a16:creationId xmlns:a16="http://schemas.microsoft.com/office/drawing/2014/main" id="{B91DF75E-07F3-EF83-F4B7-6395D9296130}"/>
            </a:ext>
          </a:extLst>
        </xdr:cNvPr>
        <xdr:cNvSpPr/>
      </xdr:nvSpPr>
      <xdr:spPr>
        <a:xfrm>
          <a:off x="59563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176</xdr:row>
      <xdr:rowOff>12700</xdr:rowOff>
    </xdr:from>
    <xdr:to>
      <xdr:col>7</xdr:col>
      <xdr:colOff>673100</xdr:colOff>
      <xdr:row>176</xdr:row>
      <xdr:rowOff>168275</xdr:rowOff>
    </xdr:to>
    <xdr:sp macro="[0]!SelectBarterOffer" textlink="">
      <xdr:nvSpPr>
        <xdr:cNvPr id="1744" name="BarterBtn_2_177_1" descr="5|177|1">
          <a:extLst>
            <a:ext uri="{FF2B5EF4-FFF2-40B4-BE49-F238E27FC236}">
              <a16:creationId xmlns:a16="http://schemas.microsoft.com/office/drawing/2014/main" id="{093B380C-CAD8-841A-02E8-B774BDA572A8}"/>
            </a:ext>
          </a:extLst>
        </xdr:cNvPr>
        <xdr:cNvSpPr/>
      </xdr:nvSpPr>
      <xdr:spPr>
        <a:xfrm>
          <a:off x="59563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183</xdr:row>
      <xdr:rowOff>12700</xdr:rowOff>
    </xdr:from>
    <xdr:to>
      <xdr:col>7</xdr:col>
      <xdr:colOff>673100</xdr:colOff>
      <xdr:row>183</xdr:row>
      <xdr:rowOff>168275</xdr:rowOff>
    </xdr:to>
    <xdr:sp macro="[0]!SelectBarterOffer" textlink="">
      <xdr:nvSpPr>
        <xdr:cNvPr id="1745" name="BarterBtn_2_184_1" descr="5|184|1">
          <a:extLst>
            <a:ext uri="{FF2B5EF4-FFF2-40B4-BE49-F238E27FC236}">
              <a16:creationId xmlns:a16="http://schemas.microsoft.com/office/drawing/2014/main" id="{C9498138-728C-6DA7-3B28-6F2282264186}"/>
            </a:ext>
          </a:extLst>
        </xdr:cNvPr>
        <xdr:cNvSpPr/>
      </xdr:nvSpPr>
      <xdr:spPr>
        <a:xfrm>
          <a:off x="59563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190</xdr:row>
      <xdr:rowOff>12700</xdr:rowOff>
    </xdr:from>
    <xdr:to>
      <xdr:col>7</xdr:col>
      <xdr:colOff>673100</xdr:colOff>
      <xdr:row>190</xdr:row>
      <xdr:rowOff>168275</xdr:rowOff>
    </xdr:to>
    <xdr:sp macro="[0]!SelectBarterOffer" textlink="">
      <xdr:nvSpPr>
        <xdr:cNvPr id="1746" name="BarterBtn_2_191_1" descr="5|191|1">
          <a:extLst>
            <a:ext uri="{FF2B5EF4-FFF2-40B4-BE49-F238E27FC236}">
              <a16:creationId xmlns:a16="http://schemas.microsoft.com/office/drawing/2014/main" id="{93D97973-5DCE-5560-9758-935F462699EE}"/>
            </a:ext>
          </a:extLst>
        </xdr:cNvPr>
        <xdr:cNvSpPr/>
      </xdr:nvSpPr>
      <xdr:spPr>
        <a:xfrm>
          <a:off x="59563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190</xdr:row>
      <xdr:rowOff>12700</xdr:rowOff>
    </xdr:from>
    <xdr:to>
      <xdr:col>10</xdr:col>
      <xdr:colOff>673100</xdr:colOff>
      <xdr:row>190</xdr:row>
      <xdr:rowOff>168275</xdr:rowOff>
    </xdr:to>
    <xdr:sp macro="[0]!SelectBarterOffer" textlink="">
      <xdr:nvSpPr>
        <xdr:cNvPr id="1747" name="BarterBtn_2_191_2" descr="5|191|2">
          <a:extLst>
            <a:ext uri="{FF2B5EF4-FFF2-40B4-BE49-F238E27FC236}">
              <a16:creationId xmlns:a16="http://schemas.microsoft.com/office/drawing/2014/main" id="{83A5EE82-FA41-2BDD-CE6E-4549600BB282}"/>
            </a:ext>
          </a:extLst>
        </xdr:cNvPr>
        <xdr:cNvSpPr/>
      </xdr:nvSpPr>
      <xdr:spPr>
        <a:xfrm>
          <a:off x="80137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197</xdr:row>
      <xdr:rowOff>12700</xdr:rowOff>
    </xdr:from>
    <xdr:to>
      <xdr:col>7</xdr:col>
      <xdr:colOff>673100</xdr:colOff>
      <xdr:row>197</xdr:row>
      <xdr:rowOff>168275</xdr:rowOff>
    </xdr:to>
    <xdr:sp macro="[0]!SelectBarterOffer" textlink="">
      <xdr:nvSpPr>
        <xdr:cNvPr id="1748" name="BarterBtn_2_198_1" descr="5|198|1">
          <a:extLst>
            <a:ext uri="{FF2B5EF4-FFF2-40B4-BE49-F238E27FC236}">
              <a16:creationId xmlns:a16="http://schemas.microsoft.com/office/drawing/2014/main" id="{6727B761-5105-0F05-2000-6CCE343EC74F}"/>
            </a:ext>
          </a:extLst>
        </xdr:cNvPr>
        <xdr:cNvSpPr/>
      </xdr:nvSpPr>
      <xdr:spPr>
        <a:xfrm>
          <a:off x="59563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197</xdr:row>
      <xdr:rowOff>12700</xdr:rowOff>
    </xdr:from>
    <xdr:to>
      <xdr:col>10</xdr:col>
      <xdr:colOff>673100</xdr:colOff>
      <xdr:row>197</xdr:row>
      <xdr:rowOff>168275</xdr:rowOff>
    </xdr:to>
    <xdr:sp macro="[0]!SelectBarterOffer" textlink="">
      <xdr:nvSpPr>
        <xdr:cNvPr id="1749" name="BarterBtn_2_198_2" descr="5|198|2">
          <a:extLst>
            <a:ext uri="{FF2B5EF4-FFF2-40B4-BE49-F238E27FC236}">
              <a16:creationId xmlns:a16="http://schemas.microsoft.com/office/drawing/2014/main" id="{56011EC2-1A40-F24F-0FB0-C2A0D4535880}"/>
            </a:ext>
          </a:extLst>
        </xdr:cNvPr>
        <xdr:cNvSpPr/>
      </xdr:nvSpPr>
      <xdr:spPr>
        <a:xfrm>
          <a:off x="80137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197</xdr:row>
      <xdr:rowOff>12700</xdr:rowOff>
    </xdr:from>
    <xdr:to>
      <xdr:col>13</xdr:col>
      <xdr:colOff>673100</xdr:colOff>
      <xdr:row>197</xdr:row>
      <xdr:rowOff>168275</xdr:rowOff>
    </xdr:to>
    <xdr:sp macro="[0]!SelectBarterOffer" textlink="">
      <xdr:nvSpPr>
        <xdr:cNvPr id="1750" name="BarterBtn_2_198_3" descr="5|198|3">
          <a:extLst>
            <a:ext uri="{FF2B5EF4-FFF2-40B4-BE49-F238E27FC236}">
              <a16:creationId xmlns:a16="http://schemas.microsoft.com/office/drawing/2014/main" id="{F96C7B72-E7F9-F5AB-90CA-198890F85A48}"/>
            </a:ext>
          </a:extLst>
        </xdr:cNvPr>
        <xdr:cNvSpPr/>
      </xdr:nvSpPr>
      <xdr:spPr>
        <a:xfrm>
          <a:off x="100711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14</xdr:col>
      <xdr:colOff>12700</xdr:colOff>
      <xdr:row>197</xdr:row>
      <xdr:rowOff>12700</xdr:rowOff>
    </xdr:from>
    <xdr:to>
      <xdr:col>16</xdr:col>
      <xdr:colOff>673100</xdr:colOff>
      <xdr:row>197</xdr:row>
      <xdr:rowOff>168275</xdr:rowOff>
    </xdr:to>
    <xdr:sp macro="[0]!SelectBarterOffer" textlink="">
      <xdr:nvSpPr>
        <xdr:cNvPr id="1751" name="BarterBtn_2_198_4" descr="5|198|4">
          <a:extLst>
            <a:ext uri="{FF2B5EF4-FFF2-40B4-BE49-F238E27FC236}">
              <a16:creationId xmlns:a16="http://schemas.microsoft.com/office/drawing/2014/main" id="{98A7D60E-838A-17DD-7ACE-4978EED3F2BA}"/>
            </a:ext>
          </a:extLst>
        </xdr:cNvPr>
        <xdr:cNvSpPr/>
      </xdr:nvSpPr>
      <xdr:spPr>
        <a:xfrm>
          <a:off x="121285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№4</a:t>
          </a:r>
        </a:p>
      </xdr:txBody>
    </xdr:sp>
    <xdr:clientData/>
  </xdr:twoCellAnchor>
  <xdr:twoCellAnchor>
    <xdr:from>
      <xdr:col>5</xdr:col>
      <xdr:colOff>12700</xdr:colOff>
      <xdr:row>204</xdr:row>
      <xdr:rowOff>12700</xdr:rowOff>
    </xdr:from>
    <xdr:to>
      <xdr:col>7</xdr:col>
      <xdr:colOff>673100</xdr:colOff>
      <xdr:row>204</xdr:row>
      <xdr:rowOff>168275</xdr:rowOff>
    </xdr:to>
    <xdr:sp macro="[0]!SelectBarterOffer" textlink="">
      <xdr:nvSpPr>
        <xdr:cNvPr id="1752" name="BarterBtn_2_205_1" descr="5|205|1">
          <a:extLst>
            <a:ext uri="{FF2B5EF4-FFF2-40B4-BE49-F238E27FC236}">
              <a16:creationId xmlns:a16="http://schemas.microsoft.com/office/drawing/2014/main" id="{57F254D3-2062-FB68-8085-31C050FF5315}"/>
            </a:ext>
          </a:extLst>
        </xdr:cNvPr>
        <xdr:cNvSpPr/>
      </xdr:nvSpPr>
      <xdr:spPr>
        <a:xfrm>
          <a:off x="59563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204</xdr:row>
      <xdr:rowOff>12700</xdr:rowOff>
    </xdr:from>
    <xdr:to>
      <xdr:col>10</xdr:col>
      <xdr:colOff>673100</xdr:colOff>
      <xdr:row>204</xdr:row>
      <xdr:rowOff>168275</xdr:rowOff>
    </xdr:to>
    <xdr:sp macro="[0]!SelectBarterOffer" textlink="">
      <xdr:nvSpPr>
        <xdr:cNvPr id="1753" name="BarterBtn_2_205_2" descr="5|205|2">
          <a:extLst>
            <a:ext uri="{FF2B5EF4-FFF2-40B4-BE49-F238E27FC236}">
              <a16:creationId xmlns:a16="http://schemas.microsoft.com/office/drawing/2014/main" id="{AC5FFE23-0E5E-5E5F-CA1A-34A85A8EDB21}"/>
            </a:ext>
          </a:extLst>
        </xdr:cNvPr>
        <xdr:cNvSpPr/>
      </xdr:nvSpPr>
      <xdr:spPr>
        <a:xfrm>
          <a:off x="80137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211</xdr:row>
      <xdr:rowOff>12700</xdr:rowOff>
    </xdr:from>
    <xdr:to>
      <xdr:col>7</xdr:col>
      <xdr:colOff>673100</xdr:colOff>
      <xdr:row>211</xdr:row>
      <xdr:rowOff>168275</xdr:rowOff>
    </xdr:to>
    <xdr:sp macro="[0]!SelectBarterOffer" textlink="">
      <xdr:nvSpPr>
        <xdr:cNvPr id="1754" name="BarterBtn_2_212_1" descr="5|212|1">
          <a:extLst>
            <a:ext uri="{FF2B5EF4-FFF2-40B4-BE49-F238E27FC236}">
              <a16:creationId xmlns:a16="http://schemas.microsoft.com/office/drawing/2014/main" id="{3F486699-A95C-7241-40D0-9B82515EDFF9}"/>
            </a:ext>
          </a:extLst>
        </xdr:cNvPr>
        <xdr:cNvSpPr/>
      </xdr:nvSpPr>
      <xdr:spPr>
        <a:xfrm>
          <a:off x="59563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211</xdr:row>
      <xdr:rowOff>12700</xdr:rowOff>
    </xdr:from>
    <xdr:to>
      <xdr:col>10</xdr:col>
      <xdr:colOff>673100</xdr:colOff>
      <xdr:row>211</xdr:row>
      <xdr:rowOff>168275</xdr:rowOff>
    </xdr:to>
    <xdr:sp macro="[0]!SelectBarterOffer" textlink="">
      <xdr:nvSpPr>
        <xdr:cNvPr id="1755" name="BarterBtn_2_212_2" descr="5|212|2">
          <a:extLst>
            <a:ext uri="{FF2B5EF4-FFF2-40B4-BE49-F238E27FC236}">
              <a16:creationId xmlns:a16="http://schemas.microsoft.com/office/drawing/2014/main" id="{9633F51A-43A0-7254-EAA6-0D63A02205B9}"/>
            </a:ext>
          </a:extLst>
        </xdr:cNvPr>
        <xdr:cNvSpPr/>
      </xdr:nvSpPr>
      <xdr:spPr>
        <a:xfrm>
          <a:off x="80137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218</xdr:row>
      <xdr:rowOff>12700</xdr:rowOff>
    </xdr:from>
    <xdr:to>
      <xdr:col>7</xdr:col>
      <xdr:colOff>673100</xdr:colOff>
      <xdr:row>218</xdr:row>
      <xdr:rowOff>168275</xdr:rowOff>
    </xdr:to>
    <xdr:sp macro="[0]!SelectBarterOffer" textlink="">
      <xdr:nvSpPr>
        <xdr:cNvPr id="1756" name="BarterBtn_2_219_1" descr="5|219|1">
          <a:extLst>
            <a:ext uri="{FF2B5EF4-FFF2-40B4-BE49-F238E27FC236}">
              <a16:creationId xmlns:a16="http://schemas.microsoft.com/office/drawing/2014/main" id="{66D7106A-C0D6-99E8-8E66-6CE00B9F525D}"/>
            </a:ext>
          </a:extLst>
        </xdr:cNvPr>
        <xdr:cNvSpPr/>
      </xdr:nvSpPr>
      <xdr:spPr>
        <a:xfrm>
          <a:off x="59563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218</xdr:row>
      <xdr:rowOff>12700</xdr:rowOff>
    </xdr:from>
    <xdr:to>
      <xdr:col>10</xdr:col>
      <xdr:colOff>673100</xdr:colOff>
      <xdr:row>218</xdr:row>
      <xdr:rowOff>168275</xdr:rowOff>
    </xdr:to>
    <xdr:sp macro="[0]!SelectBarterOffer" textlink="">
      <xdr:nvSpPr>
        <xdr:cNvPr id="1757" name="BarterBtn_2_219_2" descr="5|219|2">
          <a:extLst>
            <a:ext uri="{FF2B5EF4-FFF2-40B4-BE49-F238E27FC236}">
              <a16:creationId xmlns:a16="http://schemas.microsoft.com/office/drawing/2014/main" id="{A843C568-B562-B64D-448C-27B0B2A866EA}"/>
            </a:ext>
          </a:extLst>
        </xdr:cNvPr>
        <xdr:cNvSpPr/>
      </xdr:nvSpPr>
      <xdr:spPr>
        <a:xfrm>
          <a:off x="80137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225</xdr:row>
      <xdr:rowOff>12700</xdr:rowOff>
    </xdr:from>
    <xdr:to>
      <xdr:col>7</xdr:col>
      <xdr:colOff>673100</xdr:colOff>
      <xdr:row>225</xdr:row>
      <xdr:rowOff>168275</xdr:rowOff>
    </xdr:to>
    <xdr:sp macro="[0]!SelectBarterOffer" textlink="">
      <xdr:nvSpPr>
        <xdr:cNvPr id="1758" name="BarterBtn_2_226_1" descr="5|226|1">
          <a:extLst>
            <a:ext uri="{FF2B5EF4-FFF2-40B4-BE49-F238E27FC236}">
              <a16:creationId xmlns:a16="http://schemas.microsoft.com/office/drawing/2014/main" id="{32A8DC2C-2D91-E89E-63E7-A7AA2370A979}"/>
            </a:ext>
          </a:extLst>
        </xdr:cNvPr>
        <xdr:cNvSpPr/>
      </xdr:nvSpPr>
      <xdr:spPr>
        <a:xfrm>
          <a:off x="59563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225</xdr:row>
      <xdr:rowOff>12700</xdr:rowOff>
    </xdr:from>
    <xdr:to>
      <xdr:col>10</xdr:col>
      <xdr:colOff>673100</xdr:colOff>
      <xdr:row>225</xdr:row>
      <xdr:rowOff>168275</xdr:rowOff>
    </xdr:to>
    <xdr:sp macro="[0]!SelectBarterOffer" textlink="">
      <xdr:nvSpPr>
        <xdr:cNvPr id="1759" name="BarterBtn_2_226_2" descr="5|226|2">
          <a:extLst>
            <a:ext uri="{FF2B5EF4-FFF2-40B4-BE49-F238E27FC236}">
              <a16:creationId xmlns:a16="http://schemas.microsoft.com/office/drawing/2014/main" id="{C48AA1BF-A517-EBCA-CDFA-500C30751425}"/>
            </a:ext>
          </a:extLst>
        </xdr:cNvPr>
        <xdr:cNvSpPr/>
      </xdr:nvSpPr>
      <xdr:spPr>
        <a:xfrm>
          <a:off x="80137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232</xdr:row>
      <xdr:rowOff>12700</xdr:rowOff>
    </xdr:from>
    <xdr:to>
      <xdr:col>7</xdr:col>
      <xdr:colOff>673100</xdr:colOff>
      <xdr:row>232</xdr:row>
      <xdr:rowOff>168275</xdr:rowOff>
    </xdr:to>
    <xdr:sp macro="[0]!SelectBarterOffer" textlink="">
      <xdr:nvSpPr>
        <xdr:cNvPr id="1362" name="BarterBtn_2_233_1" descr="5|233|1">
          <a:extLst>
            <a:ext uri="{FF2B5EF4-FFF2-40B4-BE49-F238E27FC236}">
              <a16:creationId xmlns:a16="http://schemas.microsoft.com/office/drawing/2014/main" id="{A90494D8-473F-1E92-F475-69F501F45A86}"/>
            </a:ext>
          </a:extLst>
        </xdr:cNvPr>
        <xdr:cNvSpPr/>
      </xdr:nvSpPr>
      <xdr:spPr>
        <a:xfrm>
          <a:off x="59563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232</xdr:row>
      <xdr:rowOff>12700</xdr:rowOff>
    </xdr:from>
    <xdr:to>
      <xdr:col>10</xdr:col>
      <xdr:colOff>673100</xdr:colOff>
      <xdr:row>232</xdr:row>
      <xdr:rowOff>168275</xdr:rowOff>
    </xdr:to>
    <xdr:sp macro="[0]!SelectBarterOffer" textlink="">
      <xdr:nvSpPr>
        <xdr:cNvPr id="1363" name="BarterBtn_2_233_2" descr="5|233|2">
          <a:extLst>
            <a:ext uri="{FF2B5EF4-FFF2-40B4-BE49-F238E27FC236}">
              <a16:creationId xmlns:a16="http://schemas.microsoft.com/office/drawing/2014/main" id="{30BFBA11-8F83-8EC1-8A50-5FCBF3D3AD5B}"/>
            </a:ext>
          </a:extLst>
        </xdr:cNvPr>
        <xdr:cNvSpPr/>
      </xdr:nvSpPr>
      <xdr:spPr>
        <a:xfrm>
          <a:off x="80137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239</xdr:row>
      <xdr:rowOff>12700</xdr:rowOff>
    </xdr:from>
    <xdr:to>
      <xdr:col>7</xdr:col>
      <xdr:colOff>673100</xdr:colOff>
      <xdr:row>239</xdr:row>
      <xdr:rowOff>168275</xdr:rowOff>
    </xdr:to>
    <xdr:sp macro="[0]!SelectBarterOffer" textlink="">
      <xdr:nvSpPr>
        <xdr:cNvPr id="1364" name="BarterBtn_2_240_1" descr="5|240|1">
          <a:extLst>
            <a:ext uri="{FF2B5EF4-FFF2-40B4-BE49-F238E27FC236}">
              <a16:creationId xmlns:a16="http://schemas.microsoft.com/office/drawing/2014/main" id="{82BBB838-8062-8336-7F8F-56C94B5C8DB8}"/>
            </a:ext>
          </a:extLst>
        </xdr:cNvPr>
        <xdr:cNvSpPr/>
      </xdr:nvSpPr>
      <xdr:spPr>
        <a:xfrm>
          <a:off x="59563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239</xdr:row>
      <xdr:rowOff>12700</xdr:rowOff>
    </xdr:from>
    <xdr:to>
      <xdr:col>10</xdr:col>
      <xdr:colOff>673100</xdr:colOff>
      <xdr:row>239</xdr:row>
      <xdr:rowOff>168275</xdr:rowOff>
    </xdr:to>
    <xdr:sp macro="[0]!SelectBarterOffer" textlink="">
      <xdr:nvSpPr>
        <xdr:cNvPr id="1365" name="BarterBtn_2_240_2" descr="5|240|2">
          <a:extLst>
            <a:ext uri="{FF2B5EF4-FFF2-40B4-BE49-F238E27FC236}">
              <a16:creationId xmlns:a16="http://schemas.microsoft.com/office/drawing/2014/main" id="{2360AE12-D8DE-9407-27DF-2356D807613D}"/>
            </a:ext>
          </a:extLst>
        </xdr:cNvPr>
        <xdr:cNvSpPr/>
      </xdr:nvSpPr>
      <xdr:spPr>
        <a:xfrm>
          <a:off x="80137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239</xdr:row>
      <xdr:rowOff>12700</xdr:rowOff>
    </xdr:from>
    <xdr:to>
      <xdr:col>13</xdr:col>
      <xdr:colOff>673100</xdr:colOff>
      <xdr:row>239</xdr:row>
      <xdr:rowOff>168275</xdr:rowOff>
    </xdr:to>
    <xdr:sp macro="[0]!SelectBarterOffer" textlink="">
      <xdr:nvSpPr>
        <xdr:cNvPr id="1366" name="BarterBtn_2_240_3" descr="5|240|3">
          <a:extLst>
            <a:ext uri="{FF2B5EF4-FFF2-40B4-BE49-F238E27FC236}">
              <a16:creationId xmlns:a16="http://schemas.microsoft.com/office/drawing/2014/main" id="{20618446-6207-9673-7FDA-2E31D405AE5C}"/>
            </a:ext>
          </a:extLst>
        </xdr:cNvPr>
        <xdr:cNvSpPr/>
      </xdr:nvSpPr>
      <xdr:spPr>
        <a:xfrm>
          <a:off x="100711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14</xdr:col>
      <xdr:colOff>12700</xdr:colOff>
      <xdr:row>239</xdr:row>
      <xdr:rowOff>12700</xdr:rowOff>
    </xdr:from>
    <xdr:to>
      <xdr:col>16</xdr:col>
      <xdr:colOff>673100</xdr:colOff>
      <xdr:row>239</xdr:row>
      <xdr:rowOff>168275</xdr:rowOff>
    </xdr:to>
    <xdr:sp macro="[0]!SelectBarterOffer" textlink="">
      <xdr:nvSpPr>
        <xdr:cNvPr id="1367" name="BarterBtn_2_240_4" descr="5|240|4">
          <a:extLst>
            <a:ext uri="{FF2B5EF4-FFF2-40B4-BE49-F238E27FC236}">
              <a16:creationId xmlns:a16="http://schemas.microsoft.com/office/drawing/2014/main" id="{10543047-C137-2276-AB98-7E758DF01A6E}"/>
            </a:ext>
          </a:extLst>
        </xdr:cNvPr>
        <xdr:cNvSpPr/>
      </xdr:nvSpPr>
      <xdr:spPr>
        <a:xfrm>
          <a:off x="121285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№4</a:t>
          </a:r>
        </a:p>
      </xdr:txBody>
    </xdr:sp>
    <xdr:clientData/>
  </xdr:twoCellAnchor>
  <xdr:twoCellAnchor>
    <xdr:from>
      <xdr:col>5</xdr:col>
      <xdr:colOff>12700</xdr:colOff>
      <xdr:row>246</xdr:row>
      <xdr:rowOff>12700</xdr:rowOff>
    </xdr:from>
    <xdr:to>
      <xdr:col>7</xdr:col>
      <xdr:colOff>673100</xdr:colOff>
      <xdr:row>246</xdr:row>
      <xdr:rowOff>168275</xdr:rowOff>
    </xdr:to>
    <xdr:sp macro="[0]!SelectBarterOffer" textlink="">
      <xdr:nvSpPr>
        <xdr:cNvPr id="1368" name="BarterBtn_2_247_1" descr="5|247|1">
          <a:extLst>
            <a:ext uri="{FF2B5EF4-FFF2-40B4-BE49-F238E27FC236}">
              <a16:creationId xmlns:a16="http://schemas.microsoft.com/office/drawing/2014/main" id="{E991B5FA-71BE-7014-6F3E-3550CAC468D4}"/>
            </a:ext>
          </a:extLst>
        </xdr:cNvPr>
        <xdr:cNvSpPr/>
      </xdr:nvSpPr>
      <xdr:spPr>
        <a:xfrm>
          <a:off x="59563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246</xdr:row>
      <xdr:rowOff>12700</xdr:rowOff>
    </xdr:from>
    <xdr:to>
      <xdr:col>10</xdr:col>
      <xdr:colOff>673100</xdr:colOff>
      <xdr:row>246</xdr:row>
      <xdr:rowOff>168275</xdr:rowOff>
    </xdr:to>
    <xdr:sp macro="[0]!SelectBarterOffer" textlink="">
      <xdr:nvSpPr>
        <xdr:cNvPr id="1369" name="BarterBtn_2_247_2" descr="5|247|2">
          <a:extLst>
            <a:ext uri="{FF2B5EF4-FFF2-40B4-BE49-F238E27FC236}">
              <a16:creationId xmlns:a16="http://schemas.microsoft.com/office/drawing/2014/main" id="{EBABDDEE-C437-E085-63E1-400894F835AE}"/>
            </a:ext>
          </a:extLst>
        </xdr:cNvPr>
        <xdr:cNvSpPr/>
      </xdr:nvSpPr>
      <xdr:spPr>
        <a:xfrm>
          <a:off x="80137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253</xdr:row>
      <xdr:rowOff>12700</xdr:rowOff>
    </xdr:from>
    <xdr:to>
      <xdr:col>7</xdr:col>
      <xdr:colOff>673100</xdr:colOff>
      <xdr:row>253</xdr:row>
      <xdr:rowOff>168275</xdr:rowOff>
    </xdr:to>
    <xdr:sp macro="[0]!SelectBarterOffer" textlink="">
      <xdr:nvSpPr>
        <xdr:cNvPr id="1370" name="BarterBtn_2_254_1" descr="5|254|1">
          <a:extLst>
            <a:ext uri="{FF2B5EF4-FFF2-40B4-BE49-F238E27FC236}">
              <a16:creationId xmlns:a16="http://schemas.microsoft.com/office/drawing/2014/main" id="{F17E3848-480D-4B2C-552C-7379BDCC3BAA}"/>
            </a:ext>
          </a:extLst>
        </xdr:cNvPr>
        <xdr:cNvSpPr/>
      </xdr:nvSpPr>
      <xdr:spPr>
        <a:xfrm>
          <a:off x="59563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253</xdr:row>
      <xdr:rowOff>12700</xdr:rowOff>
    </xdr:from>
    <xdr:to>
      <xdr:col>10</xdr:col>
      <xdr:colOff>673100</xdr:colOff>
      <xdr:row>253</xdr:row>
      <xdr:rowOff>168275</xdr:rowOff>
    </xdr:to>
    <xdr:sp macro="[0]!SelectBarterOffer" textlink="">
      <xdr:nvSpPr>
        <xdr:cNvPr id="1371" name="BarterBtn_2_254_2" descr="5|254|2">
          <a:extLst>
            <a:ext uri="{FF2B5EF4-FFF2-40B4-BE49-F238E27FC236}">
              <a16:creationId xmlns:a16="http://schemas.microsoft.com/office/drawing/2014/main" id="{CBC417C0-CC54-46CC-4636-961DEB35758C}"/>
            </a:ext>
          </a:extLst>
        </xdr:cNvPr>
        <xdr:cNvSpPr/>
      </xdr:nvSpPr>
      <xdr:spPr>
        <a:xfrm>
          <a:off x="80137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260</xdr:row>
      <xdr:rowOff>12700</xdr:rowOff>
    </xdr:from>
    <xdr:to>
      <xdr:col>7</xdr:col>
      <xdr:colOff>673100</xdr:colOff>
      <xdr:row>260</xdr:row>
      <xdr:rowOff>168275</xdr:rowOff>
    </xdr:to>
    <xdr:sp macro="[0]!SelectBarterOffer" textlink="">
      <xdr:nvSpPr>
        <xdr:cNvPr id="1372" name="BarterBtn_2_261_1" descr="5|261|1">
          <a:extLst>
            <a:ext uri="{FF2B5EF4-FFF2-40B4-BE49-F238E27FC236}">
              <a16:creationId xmlns:a16="http://schemas.microsoft.com/office/drawing/2014/main" id="{D611EDE9-64C3-F523-3CFF-CC6BADA1CFF0}"/>
            </a:ext>
          </a:extLst>
        </xdr:cNvPr>
        <xdr:cNvSpPr/>
      </xdr:nvSpPr>
      <xdr:spPr>
        <a:xfrm>
          <a:off x="5956300" y="102215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260</xdr:row>
      <xdr:rowOff>12700</xdr:rowOff>
    </xdr:from>
    <xdr:to>
      <xdr:col>10</xdr:col>
      <xdr:colOff>673100</xdr:colOff>
      <xdr:row>260</xdr:row>
      <xdr:rowOff>168275</xdr:rowOff>
    </xdr:to>
    <xdr:sp macro="[0]!SelectBarterOffer" textlink="">
      <xdr:nvSpPr>
        <xdr:cNvPr id="1373" name="BarterBtn_2_261_2" descr="5|261|2">
          <a:extLst>
            <a:ext uri="{FF2B5EF4-FFF2-40B4-BE49-F238E27FC236}">
              <a16:creationId xmlns:a16="http://schemas.microsoft.com/office/drawing/2014/main" id="{27DC79C1-FCA5-DE7E-56E8-0B5134AD7C06}"/>
            </a:ext>
          </a:extLst>
        </xdr:cNvPr>
        <xdr:cNvSpPr/>
      </xdr:nvSpPr>
      <xdr:spPr>
        <a:xfrm>
          <a:off x="8013700" y="102215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267</xdr:row>
      <xdr:rowOff>12700</xdr:rowOff>
    </xdr:from>
    <xdr:to>
      <xdr:col>7</xdr:col>
      <xdr:colOff>673100</xdr:colOff>
      <xdr:row>267</xdr:row>
      <xdr:rowOff>168275</xdr:rowOff>
    </xdr:to>
    <xdr:sp macro="[0]!SelectBarterOffer" textlink="">
      <xdr:nvSpPr>
        <xdr:cNvPr id="1374" name="BarterBtn_2_268_1" descr="5|268|1">
          <a:extLst>
            <a:ext uri="{FF2B5EF4-FFF2-40B4-BE49-F238E27FC236}">
              <a16:creationId xmlns:a16="http://schemas.microsoft.com/office/drawing/2014/main" id="{501E6494-DCC0-1CE8-11C4-6828B9DA2B7B}"/>
            </a:ext>
          </a:extLst>
        </xdr:cNvPr>
        <xdr:cNvSpPr/>
      </xdr:nvSpPr>
      <xdr:spPr>
        <a:xfrm>
          <a:off x="59563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267</xdr:row>
      <xdr:rowOff>12700</xdr:rowOff>
    </xdr:from>
    <xdr:to>
      <xdr:col>10</xdr:col>
      <xdr:colOff>673100</xdr:colOff>
      <xdr:row>267</xdr:row>
      <xdr:rowOff>168275</xdr:rowOff>
    </xdr:to>
    <xdr:sp macro="[0]!SelectBarterOffer" textlink="">
      <xdr:nvSpPr>
        <xdr:cNvPr id="1375" name="BarterBtn_2_268_2" descr="5|268|2">
          <a:extLst>
            <a:ext uri="{FF2B5EF4-FFF2-40B4-BE49-F238E27FC236}">
              <a16:creationId xmlns:a16="http://schemas.microsoft.com/office/drawing/2014/main" id="{AA0E7B26-1C7B-D791-DDBC-115B37B9540E}"/>
            </a:ext>
          </a:extLst>
        </xdr:cNvPr>
        <xdr:cNvSpPr/>
      </xdr:nvSpPr>
      <xdr:spPr>
        <a:xfrm>
          <a:off x="80137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274</xdr:row>
      <xdr:rowOff>12700</xdr:rowOff>
    </xdr:from>
    <xdr:to>
      <xdr:col>7</xdr:col>
      <xdr:colOff>673100</xdr:colOff>
      <xdr:row>274</xdr:row>
      <xdr:rowOff>168275</xdr:rowOff>
    </xdr:to>
    <xdr:sp macro="[0]!SelectBarterOffer" textlink="">
      <xdr:nvSpPr>
        <xdr:cNvPr id="1760" name="BarterBtn_2_275_1" descr="5|275|1">
          <a:extLst>
            <a:ext uri="{FF2B5EF4-FFF2-40B4-BE49-F238E27FC236}">
              <a16:creationId xmlns:a16="http://schemas.microsoft.com/office/drawing/2014/main" id="{7CE5987F-825D-F1A3-0DBD-25E0DFE51143}"/>
            </a:ext>
          </a:extLst>
        </xdr:cNvPr>
        <xdr:cNvSpPr/>
      </xdr:nvSpPr>
      <xdr:spPr>
        <a:xfrm>
          <a:off x="59563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274</xdr:row>
      <xdr:rowOff>12700</xdr:rowOff>
    </xdr:from>
    <xdr:to>
      <xdr:col>10</xdr:col>
      <xdr:colOff>673100</xdr:colOff>
      <xdr:row>274</xdr:row>
      <xdr:rowOff>168275</xdr:rowOff>
    </xdr:to>
    <xdr:sp macro="[0]!SelectBarterOffer" textlink="">
      <xdr:nvSpPr>
        <xdr:cNvPr id="1761" name="BarterBtn_2_275_2" descr="5|275|2">
          <a:extLst>
            <a:ext uri="{FF2B5EF4-FFF2-40B4-BE49-F238E27FC236}">
              <a16:creationId xmlns:a16="http://schemas.microsoft.com/office/drawing/2014/main" id="{156FB21F-ED00-9700-B710-45B3874AD227}"/>
            </a:ext>
          </a:extLst>
        </xdr:cNvPr>
        <xdr:cNvSpPr/>
      </xdr:nvSpPr>
      <xdr:spPr>
        <a:xfrm>
          <a:off x="80137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281</xdr:row>
      <xdr:rowOff>12700</xdr:rowOff>
    </xdr:from>
    <xdr:to>
      <xdr:col>7</xdr:col>
      <xdr:colOff>673100</xdr:colOff>
      <xdr:row>281</xdr:row>
      <xdr:rowOff>168275</xdr:rowOff>
    </xdr:to>
    <xdr:sp macro="[0]!SelectBarterOffer" textlink="">
      <xdr:nvSpPr>
        <xdr:cNvPr id="1762" name="BarterBtn_2_282_1" descr="5|282|1">
          <a:extLst>
            <a:ext uri="{FF2B5EF4-FFF2-40B4-BE49-F238E27FC236}">
              <a16:creationId xmlns:a16="http://schemas.microsoft.com/office/drawing/2014/main" id="{274AB75C-2A0B-E994-11A8-19E0A33B366C}"/>
            </a:ext>
          </a:extLst>
        </xdr:cNvPr>
        <xdr:cNvSpPr/>
      </xdr:nvSpPr>
      <xdr:spPr>
        <a:xfrm>
          <a:off x="59563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281</xdr:row>
      <xdr:rowOff>12700</xdr:rowOff>
    </xdr:from>
    <xdr:to>
      <xdr:col>10</xdr:col>
      <xdr:colOff>673100</xdr:colOff>
      <xdr:row>281</xdr:row>
      <xdr:rowOff>168275</xdr:rowOff>
    </xdr:to>
    <xdr:sp macro="[0]!SelectBarterOffer" textlink="">
      <xdr:nvSpPr>
        <xdr:cNvPr id="1763" name="BarterBtn_2_282_2" descr="5|282|2">
          <a:extLst>
            <a:ext uri="{FF2B5EF4-FFF2-40B4-BE49-F238E27FC236}">
              <a16:creationId xmlns:a16="http://schemas.microsoft.com/office/drawing/2014/main" id="{2B971C6C-F84B-B16D-D855-71E800539BC0}"/>
            </a:ext>
          </a:extLst>
        </xdr:cNvPr>
        <xdr:cNvSpPr/>
      </xdr:nvSpPr>
      <xdr:spPr>
        <a:xfrm>
          <a:off x="80137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281</xdr:row>
      <xdr:rowOff>12700</xdr:rowOff>
    </xdr:from>
    <xdr:to>
      <xdr:col>13</xdr:col>
      <xdr:colOff>673100</xdr:colOff>
      <xdr:row>281</xdr:row>
      <xdr:rowOff>168275</xdr:rowOff>
    </xdr:to>
    <xdr:sp macro="[0]!SelectBarterOffer" textlink="">
      <xdr:nvSpPr>
        <xdr:cNvPr id="1764" name="BarterBtn_2_282_3" descr="5|282|3">
          <a:extLst>
            <a:ext uri="{FF2B5EF4-FFF2-40B4-BE49-F238E27FC236}">
              <a16:creationId xmlns:a16="http://schemas.microsoft.com/office/drawing/2014/main" id="{65E1130D-7BED-05BC-1730-70D2A9108B6F}"/>
            </a:ext>
          </a:extLst>
        </xdr:cNvPr>
        <xdr:cNvSpPr/>
      </xdr:nvSpPr>
      <xdr:spPr>
        <a:xfrm>
          <a:off x="100711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14</xdr:col>
      <xdr:colOff>12700</xdr:colOff>
      <xdr:row>281</xdr:row>
      <xdr:rowOff>12700</xdr:rowOff>
    </xdr:from>
    <xdr:to>
      <xdr:col>16</xdr:col>
      <xdr:colOff>673100</xdr:colOff>
      <xdr:row>281</xdr:row>
      <xdr:rowOff>168275</xdr:rowOff>
    </xdr:to>
    <xdr:sp macro="[0]!SelectBarterOffer" textlink="">
      <xdr:nvSpPr>
        <xdr:cNvPr id="1765" name="BarterBtn_2_282_4" descr="5|282|4">
          <a:extLst>
            <a:ext uri="{FF2B5EF4-FFF2-40B4-BE49-F238E27FC236}">
              <a16:creationId xmlns:a16="http://schemas.microsoft.com/office/drawing/2014/main" id="{5AF36CD6-7867-5D9D-F0AB-096F5911C53A}"/>
            </a:ext>
          </a:extLst>
        </xdr:cNvPr>
        <xdr:cNvSpPr/>
      </xdr:nvSpPr>
      <xdr:spPr>
        <a:xfrm>
          <a:off x="121285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№4</a:t>
          </a:r>
        </a:p>
      </xdr:txBody>
    </xdr:sp>
    <xdr:clientData/>
  </xdr:twoCellAnchor>
  <xdr:twoCellAnchor>
    <xdr:from>
      <xdr:col>5</xdr:col>
      <xdr:colOff>12700</xdr:colOff>
      <xdr:row>288</xdr:row>
      <xdr:rowOff>12700</xdr:rowOff>
    </xdr:from>
    <xdr:to>
      <xdr:col>7</xdr:col>
      <xdr:colOff>673100</xdr:colOff>
      <xdr:row>288</xdr:row>
      <xdr:rowOff>168275</xdr:rowOff>
    </xdr:to>
    <xdr:sp macro="[0]!SelectBarterOffer" textlink="">
      <xdr:nvSpPr>
        <xdr:cNvPr id="1766" name="BarterBtn_2_289_1" descr="5|289|1">
          <a:extLst>
            <a:ext uri="{FF2B5EF4-FFF2-40B4-BE49-F238E27FC236}">
              <a16:creationId xmlns:a16="http://schemas.microsoft.com/office/drawing/2014/main" id="{30FDC4B1-BCAD-322A-8954-3EB032EBEB0C}"/>
            </a:ext>
          </a:extLst>
        </xdr:cNvPr>
        <xdr:cNvSpPr/>
      </xdr:nvSpPr>
      <xdr:spPr>
        <a:xfrm>
          <a:off x="59563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288</xdr:row>
      <xdr:rowOff>12700</xdr:rowOff>
    </xdr:from>
    <xdr:to>
      <xdr:col>10</xdr:col>
      <xdr:colOff>673100</xdr:colOff>
      <xdr:row>288</xdr:row>
      <xdr:rowOff>168275</xdr:rowOff>
    </xdr:to>
    <xdr:sp macro="[0]!SelectBarterOffer" textlink="">
      <xdr:nvSpPr>
        <xdr:cNvPr id="1767" name="BarterBtn_2_289_2" descr="5|289|2">
          <a:extLst>
            <a:ext uri="{FF2B5EF4-FFF2-40B4-BE49-F238E27FC236}">
              <a16:creationId xmlns:a16="http://schemas.microsoft.com/office/drawing/2014/main" id="{DD06FADB-4F7A-FCAD-48AD-6AECD8399AFC}"/>
            </a:ext>
          </a:extLst>
        </xdr:cNvPr>
        <xdr:cNvSpPr/>
      </xdr:nvSpPr>
      <xdr:spPr>
        <a:xfrm>
          <a:off x="80137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295</xdr:row>
      <xdr:rowOff>12700</xdr:rowOff>
    </xdr:from>
    <xdr:to>
      <xdr:col>7</xdr:col>
      <xdr:colOff>673100</xdr:colOff>
      <xdr:row>295</xdr:row>
      <xdr:rowOff>168275</xdr:rowOff>
    </xdr:to>
    <xdr:sp macro="[0]!SelectBarterOffer" textlink="">
      <xdr:nvSpPr>
        <xdr:cNvPr id="1768" name="BarterBtn_2_296_1" descr="5|296|1">
          <a:extLst>
            <a:ext uri="{FF2B5EF4-FFF2-40B4-BE49-F238E27FC236}">
              <a16:creationId xmlns:a16="http://schemas.microsoft.com/office/drawing/2014/main" id="{D562EC91-6E54-3DA0-7A38-B37302C34468}"/>
            </a:ext>
          </a:extLst>
        </xdr:cNvPr>
        <xdr:cNvSpPr/>
      </xdr:nvSpPr>
      <xdr:spPr>
        <a:xfrm>
          <a:off x="5956300" y="115979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295</xdr:row>
      <xdr:rowOff>12700</xdr:rowOff>
    </xdr:from>
    <xdr:to>
      <xdr:col>10</xdr:col>
      <xdr:colOff>673100</xdr:colOff>
      <xdr:row>295</xdr:row>
      <xdr:rowOff>168275</xdr:rowOff>
    </xdr:to>
    <xdr:sp macro="[0]!SelectBarterOffer" textlink="">
      <xdr:nvSpPr>
        <xdr:cNvPr id="1769" name="BarterBtn_2_296_2" descr="5|296|2">
          <a:extLst>
            <a:ext uri="{FF2B5EF4-FFF2-40B4-BE49-F238E27FC236}">
              <a16:creationId xmlns:a16="http://schemas.microsoft.com/office/drawing/2014/main" id="{A24123CA-3F6E-DD3A-D0E6-B594F5F9DA77}"/>
            </a:ext>
          </a:extLst>
        </xdr:cNvPr>
        <xdr:cNvSpPr/>
      </xdr:nvSpPr>
      <xdr:spPr>
        <a:xfrm>
          <a:off x="8013700" y="115979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302</xdr:row>
      <xdr:rowOff>12700</xdr:rowOff>
    </xdr:from>
    <xdr:to>
      <xdr:col>7</xdr:col>
      <xdr:colOff>673100</xdr:colOff>
      <xdr:row>302</xdr:row>
      <xdr:rowOff>168275</xdr:rowOff>
    </xdr:to>
    <xdr:sp macro="[0]!SelectBarterOffer" textlink="">
      <xdr:nvSpPr>
        <xdr:cNvPr id="1770" name="BarterBtn_2_303_1" descr="5|303|1">
          <a:extLst>
            <a:ext uri="{FF2B5EF4-FFF2-40B4-BE49-F238E27FC236}">
              <a16:creationId xmlns:a16="http://schemas.microsoft.com/office/drawing/2014/main" id="{9611F3E5-BCD7-03A2-B9AD-60E2CDA58FF0}"/>
            </a:ext>
          </a:extLst>
        </xdr:cNvPr>
        <xdr:cNvSpPr/>
      </xdr:nvSpPr>
      <xdr:spPr>
        <a:xfrm>
          <a:off x="59563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302</xdr:row>
      <xdr:rowOff>12700</xdr:rowOff>
    </xdr:from>
    <xdr:to>
      <xdr:col>10</xdr:col>
      <xdr:colOff>673100</xdr:colOff>
      <xdr:row>302</xdr:row>
      <xdr:rowOff>168275</xdr:rowOff>
    </xdr:to>
    <xdr:sp macro="[0]!SelectBarterOffer" textlink="">
      <xdr:nvSpPr>
        <xdr:cNvPr id="1771" name="BarterBtn_2_303_2" descr="5|303|2">
          <a:extLst>
            <a:ext uri="{FF2B5EF4-FFF2-40B4-BE49-F238E27FC236}">
              <a16:creationId xmlns:a16="http://schemas.microsoft.com/office/drawing/2014/main" id="{DD44DAC9-560A-84DD-F4D2-7868DE7B50A1}"/>
            </a:ext>
          </a:extLst>
        </xdr:cNvPr>
        <xdr:cNvSpPr/>
      </xdr:nvSpPr>
      <xdr:spPr>
        <a:xfrm>
          <a:off x="80137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309</xdr:row>
      <xdr:rowOff>12700</xdr:rowOff>
    </xdr:from>
    <xdr:to>
      <xdr:col>7</xdr:col>
      <xdr:colOff>673100</xdr:colOff>
      <xdr:row>309</xdr:row>
      <xdr:rowOff>168275</xdr:rowOff>
    </xdr:to>
    <xdr:sp macro="[0]!SelectBarterOffer" textlink="">
      <xdr:nvSpPr>
        <xdr:cNvPr id="1772" name="BarterBtn_2_310_1" descr="5|310|1">
          <a:extLst>
            <a:ext uri="{FF2B5EF4-FFF2-40B4-BE49-F238E27FC236}">
              <a16:creationId xmlns:a16="http://schemas.microsoft.com/office/drawing/2014/main" id="{1372E22C-7212-5CE4-40AF-3A0DEBD7F516}"/>
            </a:ext>
          </a:extLst>
        </xdr:cNvPr>
        <xdr:cNvSpPr/>
      </xdr:nvSpPr>
      <xdr:spPr>
        <a:xfrm>
          <a:off x="5956300" y="121485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309</xdr:row>
      <xdr:rowOff>12700</xdr:rowOff>
    </xdr:from>
    <xdr:to>
      <xdr:col>10</xdr:col>
      <xdr:colOff>673100</xdr:colOff>
      <xdr:row>309</xdr:row>
      <xdr:rowOff>168275</xdr:rowOff>
    </xdr:to>
    <xdr:sp macro="[0]!SelectBarterOffer" textlink="">
      <xdr:nvSpPr>
        <xdr:cNvPr id="1773" name="BarterBtn_2_310_2" descr="5|310|2">
          <a:extLst>
            <a:ext uri="{FF2B5EF4-FFF2-40B4-BE49-F238E27FC236}">
              <a16:creationId xmlns:a16="http://schemas.microsoft.com/office/drawing/2014/main" id="{38414EE2-5F91-0950-620E-513E9045690A}"/>
            </a:ext>
          </a:extLst>
        </xdr:cNvPr>
        <xdr:cNvSpPr/>
      </xdr:nvSpPr>
      <xdr:spPr>
        <a:xfrm>
          <a:off x="8013700" y="121485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316</xdr:row>
      <xdr:rowOff>12700</xdr:rowOff>
    </xdr:from>
    <xdr:to>
      <xdr:col>7</xdr:col>
      <xdr:colOff>673100</xdr:colOff>
      <xdr:row>316</xdr:row>
      <xdr:rowOff>168275</xdr:rowOff>
    </xdr:to>
    <xdr:sp macro="[0]!SelectBarterOffer" textlink="">
      <xdr:nvSpPr>
        <xdr:cNvPr id="1774" name="BarterBtn_2_317_1" descr="5|317|1">
          <a:extLst>
            <a:ext uri="{FF2B5EF4-FFF2-40B4-BE49-F238E27FC236}">
              <a16:creationId xmlns:a16="http://schemas.microsoft.com/office/drawing/2014/main" id="{7B3A87CA-6144-9C85-F1E5-E09E1D69C5D7}"/>
            </a:ext>
          </a:extLst>
        </xdr:cNvPr>
        <xdr:cNvSpPr/>
      </xdr:nvSpPr>
      <xdr:spPr>
        <a:xfrm>
          <a:off x="5956300" y="124237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316</xdr:row>
      <xdr:rowOff>12700</xdr:rowOff>
    </xdr:from>
    <xdr:to>
      <xdr:col>10</xdr:col>
      <xdr:colOff>673100</xdr:colOff>
      <xdr:row>316</xdr:row>
      <xdr:rowOff>168275</xdr:rowOff>
    </xdr:to>
    <xdr:sp macro="[0]!SelectBarterOffer" textlink="">
      <xdr:nvSpPr>
        <xdr:cNvPr id="1775" name="BarterBtn_2_317_2" descr="5|317|2">
          <a:extLst>
            <a:ext uri="{FF2B5EF4-FFF2-40B4-BE49-F238E27FC236}">
              <a16:creationId xmlns:a16="http://schemas.microsoft.com/office/drawing/2014/main" id="{5896BBEF-EF3C-4730-034B-6B745ED471C9}"/>
            </a:ext>
          </a:extLst>
        </xdr:cNvPr>
        <xdr:cNvSpPr/>
      </xdr:nvSpPr>
      <xdr:spPr>
        <a:xfrm>
          <a:off x="8013700" y="124237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323</xdr:row>
      <xdr:rowOff>12700</xdr:rowOff>
    </xdr:from>
    <xdr:to>
      <xdr:col>7</xdr:col>
      <xdr:colOff>673100</xdr:colOff>
      <xdr:row>323</xdr:row>
      <xdr:rowOff>168275</xdr:rowOff>
    </xdr:to>
    <xdr:sp macro="[0]!SelectBarterOffer" textlink="">
      <xdr:nvSpPr>
        <xdr:cNvPr id="1776" name="BarterBtn_2_324_1" descr="5|324|1">
          <a:extLst>
            <a:ext uri="{FF2B5EF4-FFF2-40B4-BE49-F238E27FC236}">
              <a16:creationId xmlns:a16="http://schemas.microsoft.com/office/drawing/2014/main" id="{845ADD6B-B273-6BC9-86A5-C320E52C0747}"/>
            </a:ext>
          </a:extLst>
        </xdr:cNvPr>
        <xdr:cNvSpPr/>
      </xdr:nvSpPr>
      <xdr:spPr>
        <a:xfrm>
          <a:off x="5956300" y="126990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323</xdr:row>
      <xdr:rowOff>12700</xdr:rowOff>
    </xdr:from>
    <xdr:to>
      <xdr:col>10</xdr:col>
      <xdr:colOff>673100</xdr:colOff>
      <xdr:row>323</xdr:row>
      <xdr:rowOff>168275</xdr:rowOff>
    </xdr:to>
    <xdr:sp macro="[0]!SelectBarterOffer" textlink="">
      <xdr:nvSpPr>
        <xdr:cNvPr id="1777" name="BarterBtn_2_324_2" descr="5|324|2">
          <a:extLst>
            <a:ext uri="{FF2B5EF4-FFF2-40B4-BE49-F238E27FC236}">
              <a16:creationId xmlns:a16="http://schemas.microsoft.com/office/drawing/2014/main" id="{53C4A83E-47B7-DB47-C869-EE7082F27BDE}"/>
            </a:ext>
          </a:extLst>
        </xdr:cNvPr>
        <xdr:cNvSpPr/>
      </xdr:nvSpPr>
      <xdr:spPr>
        <a:xfrm>
          <a:off x="8013700" y="126990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330</xdr:row>
      <xdr:rowOff>12700</xdr:rowOff>
    </xdr:from>
    <xdr:to>
      <xdr:col>7</xdr:col>
      <xdr:colOff>673100</xdr:colOff>
      <xdr:row>330</xdr:row>
      <xdr:rowOff>168275</xdr:rowOff>
    </xdr:to>
    <xdr:sp macro="[0]!SelectBarterOffer" textlink="">
      <xdr:nvSpPr>
        <xdr:cNvPr id="1778" name="BarterBtn_2_331_1" descr="5|331|1">
          <a:extLst>
            <a:ext uri="{FF2B5EF4-FFF2-40B4-BE49-F238E27FC236}">
              <a16:creationId xmlns:a16="http://schemas.microsoft.com/office/drawing/2014/main" id="{48F06DC0-5302-B910-3BB2-6DE796F6CB38}"/>
            </a:ext>
          </a:extLst>
        </xdr:cNvPr>
        <xdr:cNvSpPr/>
      </xdr:nvSpPr>
      <xdr:spPr>
        <a:xfrm>
          <a:off x="5956300" y="129743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330</xdr:row>
      <xdr:rowOff>12700</xdr:rowOff>
    </xdr:from>
    <xdr:to>
      <xdr:col>10</xdr:col>
      <xdr:colOff>673100</xdr:colOff>
      <xdr:row>330</xdr:row>
      <xdr:rowOff>168275</xdr:rowOff>
    </xdr:to>
    <xdr:sp macro="[0]!SelectBarterOffer" textlink="">
      <xdr:nvSpPr>
        <xdr:cNvPr id="1779" name="BarterBtn_2_331_2" descr="5|331|2">
          <a:extLst>
            <a:ext uri="{FF2B5EF4-FFF2-40B4-BE49-F238E27FC236}">
              <a16:creationId xmlns:a16="http://schemas.microsoft.com/office/drawing/2014/main" id="{5486EB13-20AD-DCCC-721F-F2E7CC4F32B6}"/>
            </a:ext>
          </a:extLst>
        </xdr:cNvPr>
        <xdr:cNvSpPr/>
      </xdr:nvSpPr>
      <xdr:spPr>
        <a:xfrm>
          <a:off x="8013700" y="129743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337</xdr:row>
      <xdr:rowOff>12700</xdr:rowOff>
    </xdr:from>
    <xdr:to>
      <xdr:col>7</xdr:col>
      <xdr:colOff>673100</xdr:colOff>
      <xdr:row>337</xdr:row>
      <xdr:rowOff>168275</xdr:rowOff>
    </xdr:to>
    <xdr:sp macro="[0]!SelectBarterOffer" textlink="">
      <xdr:nvSpPr>
        <xdr:cNvPr id="1780" name="BarterBtn_2_338_1" descr="5|338|1">
          <a:extLst>
            <a:ext uri="{FF2B5EF4-FFF2-40B4-BE49-F238E27FC236}">
              <a16:creationId xmlns:a16="http://schemas.microsoft.com/office/drawing/2014/main" id="{CFD83CC3-8CCE-F6DF-7425-A5BC0D3B6CDD}"/>
            </a:ext>
          </a:extLst>
        </xdr:cNvPr>
        <xdr:cNvSpPr/>
      </xdr:nvSpPr>
      <xdr:spPr>
        <a:xfrm>
          <a:off x="5956300" y="132495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337</xdr:row>
      <xdr:rowOff>12700</xdr:rowOff>
    </xdr:from>
    <xdr:to>
      <xdr:col>10</xdr:col>
      <xdr:colOff>673100</xdr:colOff>
      <xdr:row>337</xdr:row>
      <xdr:rowOff>168275</xdr:rowOff>
    </xdr:to>
    <xdr:sp macro="[0]!SelectBarterOffer" textlink="">
      <xdr:nvSpPr>
        <xdr:cNvPr id="1781" name="BarterBtn_2_338_2" descr="5|338|2">
          <a:extLst>
            <a:ext uri="{FF2B5EF4-FFF2-40B4-BE49-F238E27FC236}">
              <a16:creationId xmlns:a16="http://schemas.microsoft.com/office/drawing/2014/main" id="{313DDA19-F22C-3959-299A-58BE329F75A6}"/>
            </a:ext>
          </a:extLst>
        </xdr:cNvPr>
        <xdr:cNvSpPr/>
      </xdr:nvSpPr>
      <xdr:spPr>
        <a:xfrm>
          <a:off x="8013700" y="132495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344</xdr:row>
      <xdr:rowOff>12700</xdr:rowOff>
    </xdr:from>
    <xdr:to>
      <xdr:col>7</xdr:col>
      <xdr:colOff>673100</xdr:colOff>
      <xdr:row>344</xdr:row>
      <xdr:rowOff>168275</xdr:rowOff>
    </xdr:to>
    <xdr:sp macro="[0]!SelectBarterOffer" textlink="">
      <xdr:nvSpPr>
        <xdr:cNvPr id="1782" name="BarterBtn_2_345_1" descr="5|345|1">
          <a:extLst>
            <a:ext uri="{FF2B5EF4-FFF2-40B4-BE49-F238E27FC236}">
              <a16:creationId xmlns:a16="http://schemas.microsoft.com/office/drawing/2014/main" id="{686B5C8D-60E7-4FB6-341A-A9EAA783CB0E}"/>
            </a:ext>
          </a:extLst>
        </xdr:cNvPr>
        <xdr:cNvSpPr/>
      </xdr:nvSpPr>
      <xdr:spPr>
        <a:xfrm>
          <a:off x="5956300" y="135248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344</xdr:row>
      <xdr:rowOff>12700</xdr:rowOff>
    </xdr:from>
    <xdr:to>
      <xdr:col>10</xdr:col>
      <xdr:colOff>673100</xdr:colOff>
      <xdr:row>344</xdr:row>
      <xdr:rowOff>168275</xdr:rowOff>
    </xdr:to>
    <xdr:sp macro="[0]!SelectBarterOffer" textlink="">
      <xdr:nvSpPr>
        <xdr:cNvPr id="1783" name="BarterBtn_2_345_2" descr="5|345|2">
          <a:extLst>
            <a:ext uri="{FF2B5EF4-FFF2-40B4-BE49-F238E27FC236}">
              <a16:creationId xmlns:a16="http://schemas.microsoft.com/office/drawing/2014/main" id="{4315E62E-A6C3-B432-8A42-028F4AACB42E}"/>
            </a:ext>
          </a:extLst>
        </xdr:cNvPr>
        <xdr:cNvSpPr/>
      </xdr:nvSpPr>
      <xdr:spPr>
        <a:xfrm>
          <a:off x="8013700" y="135248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351</xdr:row>
      <xdr:rowOff>12700</xdr:rowOff>
    </xdr:from>
    <xdr:to>
      <xdr:col>7</xdr:col>
      <xdr:colOff>673100</xdr:colOff>
      <xdr:row>351</xdr:row>
      <xdr:rowOff>168275</xdr:rowOff>
    </xdr:to>
    <xdr:sp macro="[0]!SelectBarterOffer" textlink="">
      <xdr:nvSpPr>
        <xdr:cNvPr id="1784" name="BarterBtn_2_352_1" descr="5|352|1">
          <a:extLst>
            <a:ext uri="{FF2B5EF4-FFF2-40B4-BE49-F238E27FC236}">
              <a16:creationId xmlns:a16="http://schemas.microsoft.com/office/drawing/2014/main" id="{AA8AC47C-DE12-9C6B-0221-500360F018A8}"/>
            </a:ext>
          </a:extLst>
        </xdr:cNvPr>
        <xdr:cNvSpPr/>
      </xdr:nvSpPr>
      <xdr:spPr>
        <a:xfrm>
          <a:off x="5956300" y="138001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351</xdr:row>
      <xdr:rowOff>12700</xdr:rowOff>
    </xdr:from>
    <xdr:to>
      <xdr:col>10</xdr:col>
      <xdr:colOff>673100</xdr:colOff>
      <xdr:row>351</xdr:row>
      <xdr:rowOff>168275</xdr:rowOff>
    </xdr:to>
    <xdr:sp macro="[0]!SelectBarterOffer" textlink="">
      <xdr:nvSpPr>
        <xdr:cNvPr id="1785" name="BarterBtn_2_352_2" descr="5|352|2">
          <a:extLst>
            <a:ext uri="{FF2B5EF4-FFF2-40B4-BE49-F238E27FC236}">
              <a16:creationId xmlns:a16="http://schemas.microsoft.com/office/drawing/2014/main" id="{EAC1CE03-0F1F-C9B8-4BCE-0F317B86CF9D}"/>
            </a:ext>
          </a:extLst>
        </xdr:cNvPr>
        <xdr:cNvSpPr/>
      </xdr:nvSpPr>
      <xdr:spPr>
        <a:xfrm>
          <a:off x="8013700" y="138001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358</xdr:row>
      <xdr:rowOff>12700</xdr:rowOff>
    </xdr:from>
    <xdr:to>
      <xdr:col>7</xdr:col>
      <xdr:colOff>673100</xdr:colOff>
      <xdr:row>358</xdr:row>
      <xdr:rowOff>168275</xdr:rowOff>
    </xdr:to>
    <xdr:sp macro="[0]!SelectBarterOffer" textlink="">
      <xdr:nvSpPr>
        <xdr:cNvPr id="1786" name="BarterBtn_2_359_1" descr="5|359|1">
          <a:extLst>
            <a:ext uri="{FF2B5EF4-FFF2-40B4-BE49-F238E27FC236}">
              <a16:creationId xmlns:a16="http://schemas.microsoft.com/office/drawing/2014/main" id="{ECF3BD65-612A-7572-D99B-604BF501BCBD}"/>
            </a:ext>
          </a:extLst>
        </xdr:cNvPr>
        <xdr:cNvSpPr/>
      </xdr:nvSpPr>
      <xdr:spPr>
        <a:xfrm>
          <a:off x="5956300" y="140754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365</xdr:row>
      <xdr:rowOff>12700</xdr:rowOff>
    </xdr:from>
    <xdr:to>
      <xdr:col>7</xdr:col>
      <xdr:colOff>673100</xdr:colOff>
      <xdr:row>365</xdr:row>
      <xdr:rowOff>168275</xdr:rowOff>
    </xdr:to>
    <xdr:sp macro="[0]!SelectBarterOffer" textlink="">
      <xdr:nvSpPr>
        <xdr:cNvPr id="1787" name="BarterBtn_2_366_1" descr="5|366|1">
          <a:extLst>
            <a:ext uri="{FF2B5EF4-FFF2-40B4-BE49-F238E27FC236}">
              <a16:creationId xmlns:a16="http://schemas.microsoft.com/office/drawing/2014/main" id="{FA9A9886-164C-CE65-88F6-583CAFA9B03F}"/>
            </a:ext>
          </a:extLst>
        </xdr:cNvPr>
        <xdr:cNvSpPr/>
      </xdr:nvSpPr>
      <xdr:spPr>
        <a:xfrm>
          <a:off x="5956300" y="143506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372</xdr:row>
      <xdr:rowOff>12700</xdr:rowOff>
    </xdr:from>
    <xdr:to>
      <xdr:col>7</xdr:col>
      <xdr:colOff>673100</xdr:colOff>
      <xdr:row>372</xdr:row>
      <xdr:rowOff>168275</xdr:rowOff>
    </xdr:to>
    <xdr:sp macro="[0]!SelectBarterOffer" textlink="">
      <xdr:nvSpPr>
        <xdr:cNvPr id="1788" name="BarterBtn_2_373_1" descr="5|373|1">
          <a:extLst>
            <a:ext uri="{FF2B5EF4-FFF2-40B4-BE49-F238E27FC236}">
              <a16:creationId xmlns:a16="http://schemas.microsoft.com/office/drawing/2014/main" id="{4AD9480D-8573-424C-2FB5-7947522840D1}"/>
            </a:ext>
          </a:extLst>
        </xdr:cNvPr>
        <xdr:cNvSpPr/>
      </xdr:nvSpPr>
      <xdr:spPr>
        <a:xfrm>
          <a:off x="5956300" y="146259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379</xdr:row>
      <xdr:rowOff>12700</xdr:rowOff>
    </xdr:from>
    <xdr:to>
      <xdr:col>7</xdr:col>
      <xdr:colOff>673100</xdr:colOff>
      <xdr:row>379</xdr:row>
      <xdr:rowOff>168275</xdr:rowOff>
    </xdr:to>
    <xdr:sp macro="[0]!SelectBarterOffer" textlink="">
      <xdr:nvSpPr>
        <xdr:cNvPr id="1789" name="BarterBtn_2_380_1" descr="5|380|1">
          <a:extLst>
            <a:ext uri="{FF2B5EF4-FFF2-40B4-BE49-F238E27FC236}">
              <a16:creationId xmlns:a16="http://schemas.microsoft.com/office/drawing/2014/main" id="{CA944C29-7C7A-22D1-15B4-1E2F9325C518}"/>
            </a:ext>
          </a:extLst>
        </xdr:cNvPr>
        <xdr:cNvSpPr/>
      </xdr:nvSpPr>
      <xdr:spPr>
        <a:xfrm>
          <a:off x="5956300" y="149012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379</xdr:row>
      <xdr:rowOff>12700</xdr:rowOff>
    </xdr:from>
    <xdr:to>
      <xdr:col>10</xdr:col>
      <xdr:colOff>673100</xdr:colOff>
      <xdr:row>379</xdr:row>
      <xdr:rowOff>168275</xdr:rowOff>
    </xdr:to>
    <xdr:sp macro="[0]!SelectBarterOffer" textlink="">
      <xdr:nvSpPr>
        <xdr:cNvPr id="1790" name="BarterBtn_2_380_2" descr="5|380|2">
          <a:extLst>
            <a:ext uri="{FF2B5EF4-FFF2-40B4-BE49-F238E27FC236}">
              <a16:creationId xmlns:a16="http://schemas.microsoft.com/office/drawing/2014/main" id="{7D4A5E60-AB69-CDCB-438A-C013C58327EB}"/>
            </a:ext>
          </a:extLst>
        </xdr:cNvPr>
        <xdr:cNvSpPr/>
      </xdr:nvSpPr>
      <xdr:spPr>
        <a:xfrm>
          <a:off x="8013700" y="149012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386</xdr:row>
      <xdr:rowOff>12700</xdr:rowOff>
    </xdr:from>
    <xdr:to>
      <xdr:col>7</xdr:col>
      <xdr:colOff>673100</xdr:colOff>
      <xdr:row>386</xdr:row>
      <xdr:rowOff>168275</xdr:rowOff>
    </xdr:to>
    <xdr:sp macro="[0]!SelectBarterOffer" textlink="">
      <xdr:nvSpPr>
        <xdr:cNvPr id="1791" name="BarterBtn_2_387_1" descr="5|387|1">
          <a:extLst>
            <a:ext uri="{FF2B5EF4-FFF2-40B4-BE49-F238E27FC236}">
              <a16:creationId xmlns:a16="http://schemas.microsoft.com/office/drawing/2014/main" id="{F20BC009-B284-2CEB-5FB2-1ABC9AF16BA6}"/>
            </a:ext>
          </a:extLst>
        </xdr:cNvPr>
        <xdr:cNvSpPr/>
      </xdr:nvSpPr>
      <xdr:spPr>
        <a:xfrm>
          <a:off x="5956300" y="151765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386</xdr:row>
      <xdr:rowOff>12700</xdr:rowOff>
    </xdr:from>
    <xdr:to>
      <xdr:col>10</xdr:col>
      <xdr:colOff>673100</xdr:colOff>
      <xdr:row>386</xdr:row>
      <xdr:rowOff>168275</xdr:rowOff>
    </xdr:to>
    <xdr:sp macro="[0]!SelectBarterOffer" textlink="">
      <xdr:nvSpPr>
        <xdr:cNvPr id="1792" name="BarterBtn_2_387_2" descr="5|387|2">
          <a:extLst>
            <a:ext uri="{FF2B5EF4-FFF2-40B4-BE49-F238E27FC236}">
              <a16:creationId xmlns:a16="http://schemas.microsoft.com/office/drawing/2014/main" id="{3D476AC8-519E-A6B1-0236-E23A53CB1CE9}"/>
            </a:ext>
          </a:extLst>
        </xdr:cNvPr>
        <xdr:cNvSpPr/>
      </xdr:nvSpPr>
      <xdr:spPr>
        <a:xfrm>
          <a:off x="8013700" y="151765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393</xdr:row>
      <xdr:rowOff>12700</xdr:rowOff>
    </xdr:from>
    <xdr:to>
      <xdr:col>7</xdr:col>
      <xdr:colOff>673100</xdr:colOff>
      <xdr:row>393</xdr:row>
      <xdr:rowOff>168275</xdr:rowOff>
    </xdr:to>
    <xdr:sp macro="[0]!SelectBarterOffer" textlink="">
      <xdr:nvSpPr>
        <xdr:cNvPr id="1793" name="BarterBtn_2_394_1" descr="5|394|1">
          <a:extLst>
            <a:ext uri="{FF2B5EF4-FFF2-40B4-BE49-F238E27FC236}">
              <a16:creationId xmlns:a16="http://schemas.microsoft.com/office/drawing/2014/main" id="{2EDFA606-F653-94FC-0BA1-98888DDB591F}"/>
            </a:ext>
          </a:extLst>
        </xdr:cNvPr>
        <xdr:cNvSpPr/>
      </xdr:nvSpPr>
      <xdr:spPr>
        <a:xfrm>
          <a:off x="5956300" y="154517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393</xdr:row>
      <xdr:rowOff>12700</xdr:rowOff>
    </xdr:from>
    <xdr:to>
      <xdr:col>10</xdr:col>
      <xdr:colOff>673100</xdr:colOff>
      <xdr:row>393</xdr:row>
      <xdr:rowOff>168275</xdr:rowOff>
    </xdr:to>
    <xdr:sp macro="[0]!SelectBarterOffer" textlink="">
      <xdr:nvSpPr>
        <xdr:cNvPr id="1794" name="BarterBtn_2_394_2" descr="5|394|2">
          <a:extLst>
            <a:ext uri="{FF2B5EF4-FFF2-40B4-BE49-F238E27FC236}">
              <a16:creationId xmlns:a16="http://schemas.microsoft.com/office/drawing/2014/main" id="{ABABCAC8-7589-47A0-9C96-6195C0F42197}"/>
            </a:ext>
          </a:extLst>
        </xdr:cNvPr>
        <xdr:cNvSpPr/>
      </xdr:nvSpPr>
      <xdr:spPr>
        <a:xfrm>
          <a:off x="8013700" y="154517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400</xdr:row>
      <xdr:rowOff>12700</xdr:rowOff>
    </xdr:from>
    <xdr:to>
      <xdr:col>7</xdr:col>
      <xdr:colOff>673100</xdr:colOff>
      <xdr:row>400</xdr:row>
      <xdr:rowOff>168275</xdr:rowOff>
    </xdr:to>
    <xdr:sp macro="[0]!SelectBarterOffer" textlink="">
      <xdr:nvSpPr>
        <xdr:cNvPr id="1795" name="BarterBtn_2_401_1" descr="5|401|1">
          <a:extLst>
            <a:ext uri="{FF2B5EF4-FFF2-40B4-BE49-F238E27FC236}">
              <a16:creationId xmlns:a16="http://schemas.microsoft.com/office/drawing/2014/main" id="{D4B04A40-7BBF-76AB-3D3C-DDA5914D4202}"/>
            </a:ext>
          </a:extLst>
        </xdr:cNvPr>
        <xdr:cNvSpPr/>
      </xdr:nvSpPr>
      <xdr:spPr>
        <a:xfrm>
          <a:off x="5956300" y="157270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407</xdr:row>
      <xdr:rowOff>12700</xdr:rowOff>
    </xdr:from>
    <xdr:to>
      <xdr:col>7</xdr:col>
      <xdr:colOff>673100</xdr:colOff>
      <xdr:row>407</xdr:row>
      <xdr:rowOff>168275</xdr:rowOff>
    </xdr:to>
    <xdr:sp macro="[0]!SelectBarterOffer" textlink="">
      <xdr:nvSpPr>
        <xdr:cNvPr id="1796" name="BarterBtn_2_408_1" descr="5|408|1">
          <a:extLst>
            <a:ext uri="{FF2B5EF4-FFF2-40B4-BE49-F238E27FC236}">
              <a16:creationId xmlns:a16="http://schemas.microsoft.com/office/drawing/2014/main" id="{B9B05426-9AA4-056A-A9DB-49101FFA2E05}"/>
            </a:ext>
          </a:extLst>
        </xdr:cNvPr>
        <xdr:cNvSpPr/>
      </xdr:nvSpPr>
      <xdr:spPr>
        <a:xfrm>
          <a:off x="5956300" y="160023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414</xdr:row>
      <xdr:rowOff>12700</xdr:rowOff>
    </xdr:from>
    <xdr:to>
      <xdr:col>7</xdr:col>
      <xdr:colOff>673100</xdr:colOff>
      <xdr:row>414</xdr:row>
      <xdr:rowOff>168275</xdr:rowOff>
    </xdr:to>
    <xdr:sp macro="[0]!SelectBarterOffer" textlink="">
      <xdr:nvSpPr>
        <xdr:cNvPr id="1797" name="BarterBtn_2_415_1" descr="5|415|1">
          <a:extLst>
            <a:ext uri="{FF2B5EF4-FFF2-40B4-BE49-F238E27FC236}">
              <a16:creationId xmlns:a16="http://schemas.microsoft.com/office/drawing/2014/main" id="{7F977081-94FE-E44D-759F-48BFD31E2477}"/>
            </a:ext>
          </a:extLst>
        </xdr:cNvPr>
        <xdr:cNvSpPr/>
      </xdr:nvSpPr>
      <xdr:spPr>
        <a:xfrm>
          <a:off x="5956300" y="162775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421</xdr:row>
      <xdr:rowOff>12700</xdr:rowOff>
    </xdr:from>
    <xdr:to>
      <xdr:col>7</xdr:col>
      <xdr:colOff>673100</xdr:colOff>
      <xdr:row>421</xdr:row>
      <xdr:rowOff>168275</xdr:rowOff>
    </xdr:to>
    <xdr:sp macro="[0]!SelectBarterOffer" textlink="">
      <xdr:nvSpPr>
        <xdr:cNvPr id="1798" name="BarterBtn_2_422_1" descr="5|422|1">
          <a:extLst>
            <a:ext uri="{FF2B5EF4-FFF2-40B4-BE49-F238E27FC236}">
              <a16:creationId xmlns:a16="http://schemas.microsoft.com/office/drawing/2014/main" id="{1822BCB9-A12D-411F-6DA2-634BC3F57EB1}"/>
            </a:ext>
          </a:extLst>
        </xdr:cNvPr>
        <xdr:cNvSpPr/>
      </xdr:nvSpPr>
      <xdr:spPr>
        <a:xfrm>
          <a:off x="5956300" y="165528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421</xdr:row>
      <xdr:rowOff>12700</xdr:rowOff>
    </xdr:from>
    <xdr:to>
      <xdr:col>10</xdr:col>
      <xdr:colOff>673100</xdr:colOff>
      <xdr:row>421</xdr:row>
      <xdr:rowOff>168275</xdr:rowOff>
    </xdr:to>
    <xdr:sp macro="[0]!SelectBarterOffer" textlink="">
      <xdr:nvSpPr>
        <xdr:cNvPr id="1799" name="BarterBtn_2_422_2" descr="5|422|2">
          <a:extLst>
            <a:ext uri="{FF2B5EF4-FFF2-40B4-BE49-F238E27FC236}">
              <a16:creationId xmlns:a16="http://schemas.microsoft.com/office/drawing/2014/main" id="{275AFBBF-6B0C-A602-9E5B-706A3991617D}"/>
            </a:ext>
          </a:extLst>
        </xdr:cNvPr>
        <xdr:cNvSpPr/>
      </xdr:nvSpPr>
      <xdr:spPr>
        <a:xfrm>
          <a:off x="8013700" y="165528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428</xdr:row>
      <xdr:rowOff>12700</xdr:rowOff>
    </xdr:from>
    <xdr:to>
      <xdr:col>7</xdr:col>
      <xdr:colOff>673100</xdr:colOff>
      <xdr:row>428</xdr:row>
      <xdr:rowOff>168275</xdr:rowOff>
    </xdr:to>
    <xdr:sp macro="[0]!SelectBarterOffer" textlink="">
      <xdr:nvSpPr>
        <xdr:cNvPr id="1800" name="BarterBtn_2_429_1" descr="5|429|1">
          <a:extLst>
            <a:ext uri="{FF2B5EF4-FFF2-40B4-BE49-F238E27FC236}">
              <a16:creationId xmlns:a16="http://schemas.microsoft.com/office/drawing/2014/main" id="{526D0F66-055D-3640-5F89-3E7856679F68}"/>
            </a:ext>
          </a:extLst>
        </xdr:cNvPr>
        <xdr:cNvSpPr/>
      </xdr:nvSpPr>
      <xdr:spPr>
        <a:xfrm>
          <a:off x="5956300" y="168281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435</xdr:row>
      <xdr:rowOff>12700</xdr:rowOff>
    </xdr:from>
    <xdr:to>
      <xdr:col>7</xdr:col>
      <xdr:colOff>673100</xdr:colOff>
      <xdr:row>435</xdr:row>
      <xdr:rowOff>168275</xdr:rowOff>
    </xdr:to>
    <xdr:sp macro="[0]!SelectBarterOffer" textlink="">
      <xdr:nvSpPr>
        <xdr:cNvPr id="1801" name="BarterBtn_2_436_1" descr="5|436|1">
          <a:extLst>
            <a:ext uri="{FF2B5EF4-FFF2-40B4-BE49-F238E27FC236}">
              <a16:creationId xmlns:a16="http://schemas.microsoft.com/office/drawing/2014/main" id="{DC2D4653-0C71-520A-0634-70F73A782606}"/>
            </a:ext>
          </a:extLst>
        </xdr:cNvPr>
        <xdr:cNvSpPr/>
      </xdr:nvSpPr>
      <xdr:spPr>
        <a:xfrm>
          <a:off x="5956300" y="171034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442</xdr:row>
      <xdr:rowOff>12700</xdr:rowOff>
    </xdr:from>
    <xdr:to>
      <xdr:col>7</xdr:col>
      <xdr:colOff>673100</xdr:colOff>
      <xdr:row>442</xdr:row>
      <xdr:rowOff>168275</xdr:rowOff>
    </xdr:to>
    <xdr:sp macro="[0]!SelectBarterOffer" textlink="">
      <xdr:nvSpPr>
        <xdr:cNvPr id="1802" name="BarterBtn_2_443_1" descr="5|443|1">
          <a:extLst>
            <a:ext uri="{FF2B5EF4-FFF2-40B4-BE49-F238E27FC236}">
              <a16:creationId xmlns:a16="http://schemas.microsoft.com/office/drawing/2014/main" id="{4910CBE0-C280-7249-7E3D-F564B962196C}"/>
            </a:ext>
          </a:extLst>
        </xdr:cNvPr>
        <xdr:cNvSpPr/>
      </xdr:nvSpPr>
      <xdr:spPr>
        <a:xfrm>
          <a:off x="5956300" y="173786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449</xdr:row>
      <xdr:rowOff>12700</xdr:rowOff>
    </xdr:from>
    <xdr:to>
      <xdr:col>7</xdr:col>
      <xdr:colOff>673100</xdr:colOff>
      <xdr:row>449</xdr:row>
      <xdr:rowOff>168275</xdr:rowOff>
    </xdr:to>
    <xdr:sp macro="[0]!SelectBarterOffer" textlink="">
      <xdr:nvSpPr>
        <xdr:cNvPr id="1803" name="BarterBtn_2_450_1" descr="5|450|1">
          <a:extLst>
            <a:ext uri="{FF2B5EF4-FFF2-40B4-BE49-F238E27FC236}">
              <a16:creationId xmlns:a16="http://schemas.microsoft.com/office/drawing/2014/main" id="{3C1BA0CF-538A-D863-29AA-8D1B2CD4D1DD}"/>
            </a:ext>
          </a:extLst>
        </xdr:cNvPr>
        <xdr:cNvSpPr/>
      </xdr:nvSpPr>
      <xdr:spPr>
        <a:xfrm>
          <a:off x="5956300" y="176539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449</xdr:row>
      <xdr:rowOff>12700</xdr:rowOff>
    </xdr:from>
    <xdr:to>
      <xdr:col>10</xdr:col>
      <xdr:colOff>673100</xdr:colOff>
      <xdr:row>449</xdr:row>
      <xdr:rowOff>168275</xdr:rowOff>
    </xdr:to>
    <xdr:sp macro="[0]!SelectBarterOffer" textlink="">
      <xdr:nvSpPr>
        <xdr:cNvPr id="1804" name="BarterBtn_2_450_2" descr="5|450|2">
          <a:extLst>
            <a:ext uri="{FF2B5EF4-FFF2-40B4-BE49-F238E27FC236}">
              <a16:creationId xmlns:a16="http://schemas.microsoft.com/office/drawing/2014/main" id="{4F963544-484A-5DC7-AA57-912F5C54ABDB}"/>
            </a:ext>
          </a:extLst>
        </xdr:cNvPr>
        <xdr:cNvSpPr/>
      </xdr:nvSpPr>
      <xdr:spPr>
        <a:xfrm>
          <a:off x="8013700" y="176539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456</xdr:row>
      <xdr:rowOff>12700</xdr:rowOff>
    </xdr:from>
    <xdr:to>
      <xdr:col>7</xdr:col>
      <xdr:colOff>673100</xdr:colOff>
      <xdr:row>456</xdr:row>
      <xdr:rowOff>168275</xdr:rowOff>
    </xdr:to>
    <xdr:sp macro="[0]!SelectBarterOffer" textlink="">
      <xdr:nvSpPr>
        <xdr:cNvPr id="1805" name="BarterBtn_2_457_1" descr="5|457|1">
          <a:extLst>
            <a:ext uri="{FF2B5EF4-FFF2-40B4-BE49-F238E27FC236}">
              <a16:creationId xmlns:a16="http://schemas.microsoft.com/office/drawing/2014/main" id="{94ECC537-A038-7402-803C-4B91C1898916}"/>
            </a:ext>
          </a:extLst>
        </xdr:cNvPr>
        <xdr:cNvSpPr/>
      </xdr:nvSpPr>
      <xdr:spPr>
        <a:xfrm>
          <a:off x="5956300" y="179292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463</xdr:row>
      <xdr:rowOff>12700</xdr:rowOff>
    </xdr:from>
    <xdr:to>
      <xdr:col>7</xdr:col>
      <xdr:colOff>673100</xdr:colOff>
      <xdr:row>463</xdr:row>
      <xdr:rowOff>168275</xdr:rowOff>
    </xdr:to>
    <xdr:sp macro="[0]!SelectBarterOffer" textlink="">
      <xdr:nvSpPr>
        <xdr:cNvPr id="1806" name="BarterBtn_2_464_1" descr="5|464|1">
          <a:extLst>
            <a:ext uri="{FF2B5EF4-FFF2-40B4-BE49-F238E27FC236}">
              <a16:creationId xmlns:a16="http://schemas.microsoft.com/office/drawing/2014/main" id="{BE6AE4D7-AD9E-49B5-E03B-0E3F86BC1568}"/>
            </a:ext>
          </a:extLst>
        </xdr:cNvPr>
        <xdr:cNvSpPr/>
      </xdr:nvSpPr>
      <xdr:spPr>
        <a:xfrm>
          <a:off x="5956300" y="182044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470</xdr:row>
      <xdr:rowOff>12700</xdr:rowOff>
    </xdr:from>
    <xdr:to>
      <xdr:col>7</xdr:col>
      <xdr:colOff>673100</xdr:colOff>
      <xdr:row>470</xdr:row>
      <xdr:rowOff>168275</xdr:rowOff>
    </xdr:to>
    <xdr:sp macro="[0]!SelectBarterOffer" textlink="">
      <xdr:nvSpPr>
        <xdr:cNvPr id="1807" name="BarterBtn_2_471_1" descr="5|471|1">
          <a:extLst>
            <a:ext uri="{FF2B5EF4-FFF2-40B4-BE49-F238E27FC236}">
              <a16:creationId xmlns:a16="http://schemas.microsoft.com/office/drawing/2014/main" id="{18B37B63-BCCD-C6A6-21C2-56953C96E7D2}"/>
            </a:ext>
          </a:extLst>
        </xdr:cNvPr>
        <xdr:cNvSpPr/>
      </xdr:nvSpPr>
      <xdr:spPr>
        <a:xfrm>
          <a:off x="5956300" y="184797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477</xdr:row>
      <xdr:rowOff>12700</xdr:rowOff>
    </xdr:from>
    <xdr:to>
      <xdr:col>7</xdr:col>
      <xdr:colOff>673100</xdr:colOff>
      <xdr:row>477</xdr:row>
      <xdr:rowOff>168275</xdr:rowOff>
    </xdr:to>
    <xdr:sp macro="[0]!SelectBarterOffer" textlink="">
      <xdr:nvSpPr>
        <xdr:cNvPr id="1808" name="BarterBtn_2_478_1" descr="5|478|1">
          <a:extLst>
            <a:ext uri="{FF2B5EF4-FFF2-40B4-BE49-F238E27FC236}">
              <a16:creationId xmlns:a16="http://schemas.microsoft.com/office/drawing/2014/main" id="{792D67F2-900E-9FD4-22C6-8A86A5306D57}"/>
            </a:ext>
          </a:extLst>
        </xdr:cNvPr>
        <xdr:cNvSpPr/>
      </xdr:nvSpPr>
      <xdr:spPr>
        <a:xfrm>
          <a:off x="5956300" y="187550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484</xdr:row>
      <xdr:rowOff>12700</xdr:rowOff>
    </xdr:from>
    <xdr:to>
      <xdr:col>7</xdr:col>
      <xdr:colOff>673100</xdr:colOff>
      <xdr:row>484</xdr:row>
      <xdr:rowOff>168275</xdr:rowOff>
    </xdr:to>
    <xdr:sp macro="[0]!SelectBarterOffer" textlink="">
      <xdr:nvSpPr>
        <xdr:cNvPr id="1809" name="BarterBtn_2_485_1" descr="5|485|1">
          <a:extLst>
            <a:ext uri="{FF2B5EF4-FFF2-40B4-BE49-F238E27FC236}">
              <a16:creationId xmlns:a16="http://schemas.microsoft.com/office/drawing/2014/main" id="{DD77418D-2E78-9229-B189-47033EC0DC73}"/>
            </a:ext>
          </a:extLst>
        </xdr:cNvPr>
        <xdr:cNvSpPr/>
      </xdr:nvSpPr>
      <xdr:spPr>
        <a:xfrm>
          <a:off x="5956300" y="190303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491</xdr:row>
      <xdr:rowOff>12700</xdr:rowOff>
    </xdr:from>
    <xdr:to>
      <xdr:col>7</xdr:col>
      <xdr:colOff>673100</xdr:colOff>
      <xdr:row>491</xdr:row>
      <xdr:rowOff>168275</xdr:rowOff>
    </xdr:to>
    <xdr:sp macro="[0]!SelectBarterOffer" textlink="">
      <xdr:nvSpPr>
        <xdr:cNvPr id="1810" name="BarterBtn_2_492_1" descr="5|492|1">
          <a:extLst>
            <a:ext uri="{FF2B5EF4-FFF2-40B4-BE49-F238E27FC236}">
              <a16:creationId xmlns:a16="http://schemas.microsoft.com/office/drawing/2014/main" id="{C8B5F928-1B75-3A4B-4DFB-928F98E4A2F9}"/>
            </a:ext>
          </a:extLst>
        </xdr:cNvPr>
        <xdr:cNvSpPr/>
      </xdr:nvSpPr>
      <xdr:spPr>
        <a:xfrm>
          <a:off x="5956300" y="193055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498</xdr:row>
      <xdr:rowOff>12700</xdr:rowOff>
    </xdr:from>
    <xdr:to>
      <xdr:col>7</xdr:col>
      <xdr:colOff>673100</xdr:colOff>
      <xdr:row>498</xdr:row>
      <xdr:rowOff>168275</xdr:rowOff>
    </xdr:to>
    <xdr:sp macro="[0]!SelectBarterOffer" textlink="">
      <xdr:nvSpPr>
        <xdr:cNvPr id="1811" name="BarterBtn_2_499_1" descr="5|499|1">
          <a:extLst>
            <a:ext uri="{FF2B5EF4-FFF2-40B4-BE49-F238E27FC236}">
              <a16:creationId xmlns:a16="http://schemas.microsoft.com/office/drawing/2014/main" id="{3C123B38-9B5B-C91A-AB4A-DCAC58F32CA9}"/>
            </a:ext>
          </a:extLst>
        </xdr:cNvPr>
        <xdr:cNvSpPr/>
      </xdr:nvSpPr>
      <xdr:spPr>
        <a:xfrm>
          <a:off x="5956300" y="195808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505</xdr:row>
      <xdr:rowOff>12700</xdr:rowOff>
    </xdr:from>
    <xdr:to>
      <xdr:col>7</xdr:col>
      <xdr:colOff>673100</xdr:colOff>
      <xdr:row>505</xdr:row>
      <xdr:rowOff>168275</xdr:rowOff>
    </xdr:to>
    <xdr:sp macro="[0]!SelectBarterOffer" textlink="">
      <xdr:nvSpPr>
        <xdr:cNvPr id="1812" name="BarterBtn_2_506_1" descr="5|506|1">
          <a:extLst>
            <a:ext uri="{FF2B5EF4-FFF2-40B4-BE49-F238E27FC236}">
              <a16:creationId xmlns:a16="http://schemas.microsoft.com/office/drawing/2014/main" id="{7EA5986C-81A5-7B96-1A17-A395A1FE1B12}"/>
            </a:ext>
          </a:extLst>
        </xdr:cNvPr>
        <xdr:cNvSpPr/>
      </xdr:nvSpPr>
      <xdr:spPr>
        <a:xfrm>
          <a:off x="5956300" y="198561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512</xdr:row>
      <xdr:rowOff>12700</xdr:rowOff>
    </xdr:from>
    <xdr:to>
      <xdr:col>7</xdr:col>
      <xdr:colOff>673100</xdr:colOff>
      <xdr:row>512</xdr:row>
      <xdr:rowOff>168275</xdr:rowOff>
    </xdr:to>
    <xdr:sp macro="[0]!SelectBarterOffer" textlink="">
      <xdr:nvSpPr>
        <xdr:cNvPr id="1813" name="BarterBtn_2_513_1" descr="5|513|1">
          <a:extLst>
            <a:ext uri="{FF2B5EF4-FFF2-40B4-BE49-F238E27FC236}">
              <a16:creationId xmlns:a16="http://schemas.microsoft.com/office/drawing/2014/main" id="{86E6102F-AC7D-4668-C483-B4BB6D68F533}"/>
            </a:ext>
          </a:extLst>
        </xdr:cNvPr>
        <xdr:cNvSpPr/>
      </xdr:nvSpPr>
      <xdr:spPr>
        <a:xfrm>
          <a:off x="5956300" y="201314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519</xdr:row>
      <xdr:rowOff>12700</xdr:rowOff>
    </xdr:from>
    <xdr:to>
      <xdr:col>7</xdr:col>
      <xdr:colOff>673100</xdr:colOff>
      <xdr:row>519</xdr:row>
      <xdr:rowOff>168275</xdr:rowOff>
    </xdr:to>
    <xdr:sp macro="[0]!SelectBarterOffer" textlink="">
      <xdr:nvSpPr>
        <xdr:cNvPr id="1814" name="BarterBtn_2_520_1" descr="5|520|1">
          <a:extLst>
            <a:ext uri="{FF2B5EF4-FFF2-40B4-BE49-F238E27FC236}">
              <a16:creationId xmlns:a16="http://schemas.microsoft.com/office/drawing/2014/main" id="{502CF89A-CAE7-AE21-3948-432110C0850F}"/>
            </a:ext>
          </a:extLst>
        </xdr:cNvPr>
        <xdr:cNvSpPr/>
      </xdr:nvSpPr>
      <xdr:spPr>
        <a:xfrm>
          <a:off x="5956300" y="204066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526</xdr:row>
      <xdr:rowOff>12700</xdr:rowOff>
    </xdr:from>
    <xdr:to>
      <xdr:col>7</xdr:col>
      <xdr:colOff>673100</xdr:colOff>
      <xdr:row>526</xdr:row>
      <xdr:rowOff>168275</xdr:rowOff>
    </xdr:to>
    <xdr:sp macro="[0]!SelectBarterOffer" textlink="">
      <xdr:nvSpPr>
        <xdr:cNvPr id="1815" name="BarterBtn_2_527_1" descr="5|527|1">
          <a:extLst>
            <a:ext uri="{FF2B5EF4-FFF2-40B4-BE49-F238E27FC236}">
              <a16:creationId xmlns:a16="http://schemas.microsoft.com/office/drawing/2014/main" id="{36101EF5-9085-4C71-849C-D5342786D082}"/>
            </a:ext>
          </a:extLst>
        </xdr:cNvPr>
        <xdr:cNvSpPr/>
      </xdr:nvSpPr>
      <xdr:spPr>
        <a:xfrm>
          <a:off x="5956300" y="206819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533</xdr:row>
      <xdr:rowOff>12700</xdr:rowOff>
    </xdr:from>
    <xdr:to>
      <xdr:col>7</xdr:col>
      <xdr:colOff>673100</xdr:colOff>
      <xdr:row>533</xdr:row>
      <xdr:rowOff>168275</xdr:rowOff>
    </xdr:to>
    <xdr:sp macro="[0]!SelectBarterOffer" textlink="">
      <xdr:nvSpPr>
        <xdr:cNvPr id="1816" name="BarterBtn_2_534_1" descr="5|534|1">
          <a:extLst>
            <a:ext uri="{FF2B5EF4-FFF2-40B4-BE49-F238E27FC236}">
              <a16:creationId xmlns:a16="http://schemas.microsoft.com/office/drawing/2014/main" id="{134F4C37-CE50-22F8-7E3A-F7B33E9D0568}"/>
            </a:ext>
          </a:extLst>
        </xdr:cNvPr>
        <xdr:cNvSpPr/>
      </xdr:nvSpPr>
      <xdr:spPr>
        <a:xfrm>
          <a:off x="5956300" y="209572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540</xdr:row>
      <xdr:rowOff>12700</xdr:rowOff>
    </xdr:from>
    <xdr:to>
      <xdr:col>7</xdr:col>
      <xdr:colOff>673100</xdr:colOff>
      <xdr:row>540</xdr:row>
      <xdr:rowOff>168275</xdr:rowOff>
    </xdr:to>
    <xdr:sp macro="[0]!SelectBarterOffer" textlink="">
      <xdr:nvSpPr>
        <xdr:cNvPr id="1817" name="BarterBtn_2_541_1" descr="5|541|1">
          <a:extLst>
            <a:ext uri="{FF2B5EF4-FFF2-40B4-BE49-F238E27FC236}">
              <a16:creationId xmlns:a16="http://schemas.microsoft.com/office/drawing/2014/main" id="{45637CC8-4039-7D88-9D1C-84CC5228C5AC}"/>
            </a:ext>
          </a:extLst>
        </xdr:cNvPr>
        <xdr:cNvSpPr/>
      </xdr:nvSpPr>
      <xdr:spPr>
        <a:xfrm>
          <a:off x="5956300" y="212324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547</xdr:row>
      <xdr:rowOff>12700</xdr:rowOff>
    </xdr:from>
    <xdr:to>
      <xdr:col>7</xdr:col>
      <xdr:colOff>673100</xdr:colOff>
      <xdr:row>547</xdr:row>
      <xdr:rowOff>168275</xdr:rowOff>
    </xdr:to>
    <xdr:sp macro="[0]!SelectBarterOffer" textlink="">
      <xdr:nvSpPr>
        <xdr:cNvPr id="1818" name="BarterBtn_2_548_1" descr="5|548|1">
          <a:extLst>
            <a:ext uri="{FF2B5EF4-FFF2-40B4-BE49-F238E27FC236}">
              <a16:creationId xmlns:a16="http://schemas.microsoft.com/office/drawing/2014/main" id="{512CEFB9-F093-EC4F-A6F8-D5DF5EDFB1D5}"/>
            </a:ext>
          </a:extLst>
        </xdr:cNvPr>
        <xdr:cNvSpPr/>
      </xdr:nvSpPr>
      <xdr:spPr>
        <a:xfrm>
          <a:off x="5956300" y="215077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554</xdr:row>
      <xdr:rowOff>12700</xdr:rowOff>
    </xdr:from>
    <xdr:to>
      <xdr:col>7</xdr:col>
      <xdr:colOff>673100</xdr:colOff>
      <xdr:row>554</xdr:row>
      <xdr:rowOff>168275</xdr:rowOff>
    </xdr:to>
    <xdr:sp macro="[0]!SelectBarterOffer" textlink="">
      <xdr:nvSpPr>
        <xdr:cNvPr id="1819" name="BarterBtn_2_555_1" descr="5|555|1">
          <a:extLst>
            <a:ext uri="{FF2B5EF4-FFF2-40B4-BE49-F238E27FC236}">
              <a16:creationId xmlns:a16="http://schemas.microsoft.com/office/drawing/2014/main" id="{C5AB43A4-1CEC-3447-5151-B48BB40E5D26}"/>
            </a:ext>
          </a:extLst>
        </xdr:cNvPr>
        <xdr:cNvSpPr/>
      </xdr:nvSpPr>
      <xdr:spPr>
        <a:xfrm>
          <a:off x="5956300" y="217830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561</xdr:row>
      <xdr:rowOff>12700</xdr:rowOff>
    </xdr:from>
    <xdr:to>
      <xdr:col>7</xdr:col>
      <xdr:colOff>673100</xdr:colOff>
      <xdr:row>561</xdr:row>
      <xdr:rowOff>168275</xdr:rowOff>
    </xdr:to>
    <xdr:sp macro="[0]!SelectBarterOffer" textlink="">
      <xdr:nvSpPr>
        <xdr:cNvPr id="1820" name="BarterBtn_2_562_1" descr="5|562|1">
          <a:extLst>
            <a:ext uri="{FF2B5EF4-FFF2-40B4-BE49-F238E27FC236}">
              <a16:creationId xmlns:a16="http://schemas.microsoft.com/office/drawing/2014/main" id="{F26B01F4-121B-BCFF-B2D9-AC69C59CD8A7}"/>
            </a:ext>
          </a:extLst>
        </xdr:cNvPr>
        <xdr:cNvSpPr/>
      </xdr:nvSpPr>
      <xdr:spPr>
        <a:xfrm>
          <a:off x="5956300" y="220583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561</xdr:row>
      <xdr:rowOff>12700</xdr:rowOff>
    </xdr:from>
    <xdr:to>
      <xdr:col>10</xdr:col>
      <xdr:colOff>673100</xdr:colOff>
      <xdr:row>561</xdr:row>
      <xdr:rowOff>168275</xdr:rowOff>
    </xdr:to>
    <xdr:sp macro="[0]!SelectBarterOffer" textlink="">
      <xdr:nvSpPr>
        <xdr:cNvPr id="1821" name="BarterBtn_2_562_2" descr="5|562|2">
          <a:extLst>
            <a:ext uri="{FF2B5EF4-FFF2-40B4-BE49-F238E27FC236}">
              <a16:creationId xmlns:a16="http://schemas.microsoft.com/office/drawing/2014/main" id="{143BF3FD-5846-3FA5-9059-A810BC3FDE6F}"/>
            </a:ext>
          </a:extLst>
        </xdr:cNvPr>
        <xdr:cNvSpPr/>
      </xdr:nvSpPr>
      <xdr:spPr>
        <a:xfrm>
          <a:off x="8013700" y="220583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568</xdr:row>
      <xdr:rowOff>12700</xdr:rowOff>
    </xdr:from>
    <xdr:to>
      <xdr:col>7</xdr:col>
      <xdr:colOff>673100</xdr:colOff>
      <xdr:row>568</xdr:row>
      <xdr:rowOff>168275</xdr:rowOff>
    </xdr:to>
    <xdr:sp macro="[0]!SelectBarterOffer" textlink="">
      <xdr:nvSpPr>
        <xdr:cNvPr id="1822" name="BarterBtn_2_569_1" descr="5|569|1">
          <a:extLst>
            <a:ext uri="{FF2B5EF4-FFF2-40B4-BE49-F238E27FC236}">
              <a16:creationId xmlns:a16="http://schemas.microsoft.com/office/drawing/2014/main" id="{BD73CAC6-8631-F2A2-EFAA-E8E4736DFD73}"/>
            </a:ext>
          </a:extLst>
        </xdr:cNvPr>
        <xdr:cNvSpPr/>
      </xdr:nvSpPr>
      <xdr:spPr>
        <a:xfrm>
          <a:off x="5956300" y="223335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568</xdr:row>
      <xdr:rowOff>12700</xdr:rowOff>
    </xdr:from>
    <xdr:to>
      <xdr:col>10</xdr:col>
      <xdr:colOff>673100</xdr:colOff>
      <xdr:row>568</xdr:row>
      <xdr:rowOff>168275</xdr:rowOff>
    </xdr:to>
    <xdr:sp macro="[0]!SelectBarterOffer" textlink="">
      <xdr:nvSpPr>
        <xdr:cNvPr id="1823" name="BarterBtn_2_569_2" descr="5|569|2">
          <a:extLst>
            <a:ext uri="{FF2B5EF4-FFF2-40B4-BE49-F238E27FC236}">
              <a16:creationId xmlns:a16="http://schemas.microsoft.com/office/drawing/2014/main" id="{F11AC762-ECD9-FA5B-F602-9E1F9FE0D0B8}"/>
            </a:ext>
          </a:extLst>
        </xdr:cNvPr>
        <xdr:cNvSpPr/>
      </xdr:nvSpPr>
      <xdr:spPr>
        <a:xfrm>
          <a:off x="8013700" y="223335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568</xdr:row>
      <xdr:rowOff>12700</xdr:rowOff>
    </xdr:from>
    <xdr:to>
      <xdr:col>13</xdr:col>
      <xdr:colOff>673100</xdr:colOff>
      <xdr:row>568</xdr:row>
      <xdr:rowOff>168275</xdr:rowOff>
    </xdr:to>
    <xdr:sp macro="[0]!SelectBarterOffer" textlink="">
      <xdr:nvSpPr>
        <xdr:cNvPr id="1824" name="BarterBtn_2_569_3" descr="5|569|3">
          <a:extLst>
            <a:ext uri="{FF2B5EF4-FFF2-40B4-BE49-F238E27FC236}">
              <a16:creationId xmlns:a16="http://schemas.microsoft.com/office/drawing/2014/main" id="{5417B56F-E921-2F9C-491D-DCFB3798EBCC}"/>
            </a:ext>
          </a:extLst>
        </xdr:cNvPr>
        <xdr:cNvSpPr/>
      </xdr:nvSpPr>
      <xdr:spPr>
        <a:xfrm>
          <a:off x="10071100" y="223335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5</xdr:col>
      <xdr:colOff>12700</xdr:colOff>
      <xdr:row>575</xdr:row>
      <xdr:rowOff>12700</xdr:rowOff>
    </xdr:from>
    <xdr:to>
      <xdr:col>7</xdr:col>
      <xdr:colOff>673100</xdr:colOff>
      <xdr:row>575</xdr:row>
      <xdr:rowOff>168275</xdr:rowOff>
    </xdr:to>
    <xdr:sp macro="[0]!SelectBarterOffer" textlink="">
      <xdr:nvSpPr>
        <xdr:cNvPr id="1825" name="BarterBtn_2_576_1" descr="5|576|1">
          <a:extLst>
            <a:ext uri="{FF2B5EF4-FFF2-40B4-BE49-F238E27FC236}">
              <a16:creationId xmlns:a16="http://schemas.microsoft.com/office/drawing/2014/main" id="{A1EC3CD8-35DE-8E03-99BA-8B744133E9C3}"/>
            </a:ext>
          </a:extLst>
        </xdr:cNvPr>
        <xdr:cNvSpPr/>
      </xdr:nvSpPr>
      <xdr:spPr>
        <a:xfrm>
          <a:off x="5956300" y="226088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575</xdr:row>
      <xdr:rowOff>12700</xdr:rowOff>
    </xdr:from>
    <xdr:to>
      <xdr:col>10</xdr:col>
      <xdr:colOff>673100</xdr:colOff>
      <xdr:row>575</xdr:row>
      <xdr:rowOff>168275</xdr:rowOff>
    </xdr:to>
    <xdr:sp macro="[0]!SelectBarterOffer" textlink="">
      <xdr:nvSpPr>
        <xdr:cNvPr id="1826" name="BarterBtn_2_576_2" descr="5|576|2">
          <a:extLst>
            <a:ext uri="{FF2B5EF4-FFF2-40B4-BE49-F238E27FC236}">
              <a16:creationId xmlns:a16="http://schemas.microsoft.com/office/drawing/2014/main" id="{A3CD10D4-F5EE-D54C-C1BE-E9819A461FA9}"/>
            </a:ext>
          </a:extLst>
        </xdr:cNvPr>
        <xdr:cNvSpPr/>
      </xdr:nvSpPr>
      <xdr:spPr>
        <a:xfrm>
          <a:off x="8013700" y="226088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582</xdr:row>
      <xdr:rowOff>12700</xdr:rowOff>
    </xdr:from>
    <xdr:to>
      <xdr:col>7</xdr:col>
      <xdr:colOff>673100</xdr:colOff>
      <xdr:row>582</xdr:row>
      <xdr:rowOff>168275</xdr:rowOff>
    </xdr:to>
    <xdr:sp macro="[0]!SelectBarterOffer" textlink="">
      <xdr:nvSpPr>
        <xdr:cNvPr id="1827" name="BarterBtn_2_583_1" descr="5|583|1">
          <a:extLst>
            <a:ext uri="{FF2B5EF4-FFF2-40B4-BE49-F238E27FC236}">
              <a16:creationId xmlns:a16="http://schemas.microsoft.com/office/drawing/2014/main" id="{EB073D1D-0053-6EC0-1758-62F09099159B}"/>
            </a:ext>
          </a:extLst>
        </xdr:cNvPr>
        <xdr:cNvSpPr/>
      </xdr:nvSpPr>
      <xdr:spPr>
        <a:xfrm>
          <a:off x="5956300" y="228841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589</xdr:row>
      <xdr:rowOff>12700</xdr:rowOff>
    </xdr:from>
    <xdr:to>
      <xdr:col>7</xdr:col>
      <xdr:colOff>673100</xdr:colOff>
      <xdr:row>589</xdr:row>
      <xdr:rowOff>168275</xdr:rowOff>
    </xdr:to>
    <xdr:sp macro="[0]!SelectBarterOffer" textlink="">
      <xdr:nvSpPr>
        <xdr:cNvPr id="1828" name="BarterBtn_2_590_1" descr="5|590|1">
          <a:extLst>
            <a:ext uri="{FF2B5EF4-FFF2-40B4-BE49-F238E27FC236}">
              <a16:creationId xmlns:a16="http://schemas.microsoft.com/office/drawing/2014/main" id="{20935593-7DAA-9D9E-C843-F20D3BC3448C}"/>
            </a:ext>
          </a:extLst>
        </xdr:cNvPr>
        <xdr:cNvSpPr/>
      </xdr:nvSpPr>
      <xdr:spPr>
        <a:xfrm>
          <a:off x="5956300" y="231594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589</xdr:row>
      <xdr:rowOff>12700</xdr:rowOff>
    </xdr:from>
    <xdr:to>
      <xdr:col>10</xdr:col>
      <xdr:colOff>673100</xdr:colOff>
      <xdr:row>589</xdr:row>
      <xdr:rowOff>168275</xdr:rowOff>
    </xdr:to>
    <xdr:sp macro="[0]!SelectBarterOffer" textlink="">
      <xdr:nvSpPr>
        <xdr:cNvPr id="1829" name="BarterBtn_2_590_2" descr="5|590|2">
          <a:extLst>
            <a:ext uri="{FF2B5EF4-FFF2-40B4-BE49-F238E27FC236}">
              <a16:creationId xmlns:a16="http://schemas.microsoft.com/office/drawing/2014/main" id="{F775B0ED-5322-E11E-6A1E-5DA59356F938}"/>
            </a:ext>
          </a:extLst>
        </xdr:cNvPr>
        <xdr:cNvSpPr/>
      </xdr:nvSpPr>
      <xdr:spPr>
        <a:xfrm>
          <a:off x="8013700" y="231594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596</xdr:row>
      <xdr:rowOff>12700</xdr:rowOff>
    </xdr:from>
    <xdr:to>
      <xdr:col>7</xdr:col>
      <xdr:colOff>673100</xdr:colOff>
      <xdr:row>596</xdr:row>
      <xdr:rowOff>168275</xdr:rowOff>
    </xdr:to>
    <xdr:sp macro="[0]!SelectBarterOffer" textlink="">
      <xdr:nvSpPr>
        <xdr:cNvPr id="1830" name="BarterBtn_2_597_1" descr="5|597|1">
          <a:extLst>
            <a:ext uri="{FF2B5EF4-FFF2-40B4-BE49-F238E27FC236}">
              <a16:creationId xmlns:a16="http://schemas.microsoft.com/office/drawing/2014/main" id="{5DECF2BD-A4B9-1398-694C-6447419CEFC1}"/>
            </a:ext>
          </a:extLst>
        </xdr:cNvPr>
        <xdr:cNvSpPr/>
      </xdr:nvSpPr>
      <xdr:spPr>
        <a:xfrm>
          <a:off x="5956300" y="234346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596</xdr:row>
      <xdr:rowOff>12700</xdr:rowOff>
    </xdr:from>
    <xdr:to>
      <xdr:col>10</xdr:col>
      <xdr:colOff>673100</xdr:colOff>
      <xdr:row>596</xdr:row>
      <xdr:rowOff>168275</xdr:rowOff>
    </xdr:to>
    <xdr:sp macro="[0]!SelectBarterOffer" textlink="">
      <xdr:nvSpPr>
        <xdr:cNvPr id="1831" name="BarterBtn_2_597_2" descr="5|597|2">
          <a:extLst>
            <a:ext uri="{FF2B5EF4-FFF2-40B4-BE49-F238E27FC236}">
              <a16:creationId xmlns:a16="http://schemas.microsoft.com/office/drawing/2014/main" id="{06D91388-6B4E-E4AB-D85F-7780ECE778FF}"/>
            </a:ext>
          </a:extLst>
        </xdr:cNvPr>
        <xdr:cNvSpPr/>
      </xdr:nvSpPr>
      <xdr:spPr>
        <a:xfrm>
          <a:off x="8013700" y="234346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603</xdr:row>
      <xdr:rowOff>12700</xdr:rowOff>
    </xdr:from>
    <xdr:to>
      <xdr:col>7</xdr:col>
      <xdr:colOff>673100</xdr:colOff>
      <xdr:row>603</xdr:row>
      <xdr:rowOff>168275</xdr:rowOff>
    </xdr:to>
    <xdr:sp macro="[0]!SelectBarterOffer" textlink="">
      <xdr:nvSpPr>
        <xdr:cNvPr id="1832" name="BarterBtn_2_604_1" descr="5|604|1">
          <a:extLst>
            <a:ext uri="{FF2B5EF4-FFF2-40B4-BE49-F238E27FC236}">
              <a16:creationId xmlns:a16="http://schemas.microsoft.com/office/drawing/2014/main" id="{CBA336D8-DD11-E23F-91D7-CA59007D9373}"/>
            </a:ext>
          </a:extLst>
        </xdr:cNvPr>
        <xdr:cNvSpPr/>
      </xdr:nvSpPr>
      <xdr:spPr>
        <a:xfrm>
          <a:off x="5956300" y="237099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603</xdr:row>
      <xdr:rowOff>12700</xdr:rowOff>
    </xdr:from>
    <xdr:to>
      <xdr:col>10</xdr:col>
      <xdr:colOff>673100</xdr:colOff>
      <xdr:row>603</xdr:row>
      <xdr:rowOff>168275</xdr:rowOff>
    </xdr:to>
    <xdr:sp macro="[0]!SelectBarterOffer" textlink="">
      <xdr:nvSpPr>
        <xdr:cNvPr id="1833" name="BarterBtn_2_604_2" descr="5|604|2">
          <a:extLst>
            <a:ext uri="{FF2B5EF4-FFF2-40B4-BE49-F238E27FC236}">
              <a16:creationId xmlns:a16="http://schemas.microsoft.com/office/drawing/2014/main" id="{E9D92DAC-115A-D09A-C343-5F761E80ECFC}"/>
            </a:ext>
          </a:extLst>
        </xdr:cNvPr>
        <xdr:cNvSpPr/>
      </xdr:nvSpPr>
      <xdr:spPr>
        <a:xfrm>
          <a:off x="8013700" y="237099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610</xdr:row>
      <xdr:rowOff>12700</xdr:rowOff>
    </xdr:from>
    <xdr:to>
      <xdr:col>7</xdr:col>
      <xdr:colOff>673100</xdr:colOff>
      <xdr:row>610</xdr:row>
      <xdr:rowOff>168275</xdr:rowOff>
    </xdr:to>
    <xdr:sp macro="[0]!SelectBarterOffer" textlink="">
      <xdr:nvSpPr>
        <xdr:cNvPr id="1834" name="BarterBtn_2_611_1" descr="5|611|1">
          <a:extLst>
            <a:ext uri="{FF2B5EF4-FFF2-40B4-BE49-F238E27FC236}">
              <a16:creationId xmlns:a16="http://schemas.microsoft.com/office/drawing/2014/main" id="{4E91138C-34D7-D4C6-E58C-6860102A14FB}"/>
            </a:ext>
          </a:extLst>
        </xdr:cNvPr>
        <xdr:cNvSpPr/>
      </xdr:nvSpPr>
      <xdr:spPr>
        <a:xfrm>
          <a:off x="5956300" y="239852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610</xdr:row>
      <xdr:rowOff>12700</xdr:rowOff>
    </xdr:from>
    <xdr:to>
      <xdr:col>10</xdr:col>
      <xdr:colOff>673100</xdr:colOff>
      <xdr:row>610</xdr:row>
      <xdr:rowOff>168275</xdr:rowOff>
    </xdr:to>
    <xdr:sp macro="[0]!SelectBarterOffer" textlink="">
      <xdr:nvSpPr>
        <xdr:cNvPr id="1835" name="BarterBtn_2_611_2" descr="5|611|2">
          <a:extLst>
            <a:ext uri="{FF2B5EF4-FFF2-40B4-BE49-F238E27FC236}">
              <a16:creationId xmlns:a16="http://schemas.microsoft.com/office/drawing/2014/main" id="{4E55EF9E-D938-6B95-B558-6D150074AE85}"/>
            </a:ext>
          </a:extLst>
        </xdr:cNvPr>
        <xdr:cNvSpPr/>
      </xdr:nvSpPr>
      <xdr:spPr>
        <a:xfrm>
          <a:off x="8013700" y="239852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617</xdr:row>
      <xdr:rowOff>12700</xdr:rowOff>
    </xdr:from>
    <xdr:to>
      <xdr:col>7</xdr:col>
      <xdr:colOff>673100</xdr:colOff>
      <xdr:row>617</xdr:row>
      <xdr:rowOff>168275</xdr:rowOff>
    </xdr:to>
    <xdr:sp macro="[0]!SelectBarterOffer" textlink="">
      <xdr:nvSpPr>
        <xdr:cNvPr id="1836" name="BarterBtn_2_618_1" descr="5|618|1">
          <a:extLst>
            <a:ext uri="{FF2B5EF4-FFF2-40B4-BE49-F238E27FC236}">
              <a16:creationId xmlns:a16="http://schemas.microsoft.com/office/drawing/2014/main" id="{93E570EB-BA31-7A19-38BB-426A7084C19D}"/>
            </a:ext>
          </a:extLst>
        </xdr:cNvPr>
        <xdr:cNvSpPr/>
      </xdr:nvSpPr>
      <xdr:spPr>
        <a:xfrm>
          <a:off x="5956300" y="242604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617</xdr:row>
      <xdr:rowOff>12700</xdr:rowOff>
    </xdr:from>
    <xdr:to>
      <xdr:col>10</xdr:col>
      <xdr:colOff>673100</xdr:colOff>
      <xdr:row>617</xdr:row>
      <xdr:rowOff>168275</xdr:rowOff>
    </xdr:to>
    <xdr:sp macro="[0]!SelectBarterOffer" textlink="">
      <xdr:nvSpPr>
        <xdr:cNvPr id="1837" name="BarterBtn_2_618_2" descr="5|618|2">
          <a:extLst>
            <a:ext uri="{FF2B5EF4-FFF2-40B4-BE49-F238E27FC236}">
              <a16:creationId xmlns:a16="http://schemas.microsoft.com/office/drawing/2014/main" id="{533E0240-929F-6B17-E317-8738090B5A8B}"/>
            </a:ext>
          </a:extLst>
        </xdr:cNvPr>
        <xdr:cNvSpPr/>
      </xdr:nvSpPr>
      <xdr:spPr>
        <a:xfrm>
          <a:off x="8013700" y="242604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624</xdr:row>
      <xdr:rowOff>12700</xdr:rowOff>
    </xdr:from>
    <xdr:to>
      <xdr:col>7</xdr:col>
      <xdr:colOff>673100</xdr:colOff>
      <xdr:row>624</xdr:row>
      <xdr:rowOff>168275</xdr:rowOff>
    </xdr:to>
    <xdr:sp macro="[0]!SelectBarterOffer" textlink="">
      <xdr:nvSpPr>
        <xdr:cNvPr id="1838" name="BarterBtn_2_625_1" descr="5|625|1">
          <a:extLst>
            <a:ext uri="{FF2B5EF4-FFF2-40B4-BE49-F238E27FC236}">
              <a16:creationId xmlns:a16="http://schemas.microsoft.com/office/drawing/2014/main" id="{971CEE58-00BA-4814-3FB0-08BBE002708C}"/>
            </a:ext>
          </a:extLst>
        </xdr:cNvPr>
        <xdr:cNvSpPr/>
      </xdr:nvSpPr>
      <xdr:spPr>
        <a:xfrm>
          <a:off x="5956300" y="245357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624</xdr:row>
      <xdr:rowOff>12700</xdr:rowOff>
    </xdr:from>
    <xdr:to>
      <xdr:col>10</xdr:col>
      <xdr:colOff>673100</xdr:colOff>
      <xdr:row>624</xdr:row>
      <xdr:rowOff>168275</xdr:rowOff>
    </xdr:to>
    <xdr:sp macro="[0]!SelectBarterOffer" textlink="">
      <xdr:nvSpPr>
        <xdr:cNvPr id="1839" name="BarterBtn_2_625_2" descr="5|625|2">
          <a:extLst>
            <a:ext uri="{FF2B5EF4-FFF2-40B4-BE49-F238E27FC236}">
              <a16:creationId xmlns:a16="http://schemas.microsoft.com/office/drawing/2014/main" id="{841D3E81-CFC8-F16B-EFA6-06A8FB4E8FBA}"/>
            </a:ext>
          </a:extLst>
        </xdr:cNvPr>
        <xdr:cNvSpPr/>
      </xdr:nvSpPr>
      <xdr:spPr>
        <a:xfrm>
          <a:off x="8013700" y="245357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631</xdr:row>
      <xdr:rowOff>12700</xdr:rowOff>
    </xdr:from>
    <xdr:to>
      <xdr:col>7</xdr:col>
      <xdr:colOff>673100</xdr:colOff>
      <xdr:row>631</xdr:row>
      <xdr:rowOff>168275</xdr:rowOff>
    </xdr:to>
    <xdr:sp macro="[0]!SelectBarterOffer" textlink="">
      <xdr:nvSpPr>
        <xdr:cNvPr id="1840" name="BarterBtn_2_632_1" descr="5|632|1">
          <a:extLst>
            <a:ext uri="{FF2B5EF4-FFF2-40B4-BE49-F238E27FC236}">
              <a16:creationId xmlns:a16="http://schemas.microsoft.com/office/drawing/2014/main" id="{55B7FED2-2B9E-22D7-EB82-BFD5042A4840}"/>
            </a:ext>
          </a:extLst>
        </xdr:cNvPr>
        <xdr:cNvSpPr/>
      </xdr:nvSpPr>
      <xdr:spPr>
        <a:xfrm>
          <a:off x="5956300" y="248110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631</xdr:row>
      <xdr:rowOff>12700</xdr:rowOff>
    </xdr:from>
    <xdr:to>
      <xdr:col>10</xdr:col>
      <xdr:colOff>673100</xdr:colOff>
      <xdr:row>631</xdr:row>
      <xdr:rowOff>168275</xdr:rowOff>
    </xdr:to>
    <xdr:sp macro="[0]!SelectBarterOffer" textlink="">
      <xdr:nvSpPr>
        <xdr:cNvPr id="1841" name="BarterBtn_2_632_2" descr="5|632|2">
          <a:extLst>
            <a:ext uri="{FF2B5EF4-FFF2-40B4-BE49-F238E27FC236}">
              <a16:creationId xmlns:a16="http://schemas.microsoft.com/office/drawing/2014/main" id="{26F2A877-5EDB-DADE-1D32-BAE0DCCD4424}"/>
            </a:ext>
          </a:extLst>
        </xdr:cNvPr>
        <xdr:cNvSpPr/>
      </xdr:nvSpPr>
      <xdr:spPr>
        <a:xfrm>
          <a:off x="8013700" y="248110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638</xdr:row>
      <xdr:rowOff>12700</xdr:rowOff>
    </xdr:from>
    <xdr:to>
      <xdr:col>7</xdr:col>
      <xdr:colOff>673100</xdr:colOff>
      <xdr:row>638</xdr:row>
      <xdr:rowOff>168275</xdr:rowOff>
    </xdr:to>
    <xdr:sp macro="[0]!SelectBarterOffer" textlink="">
      <xdr:nvSpPr>
        <xdr:cNvPr id="1842" name="BarterBtn_2_639_1" descr="5|639|1">
          <a:extLst>
            <a:ext uri="{FF2B5EF4-FFF2-40B4-BE49-F238E27FC236}">
              <a16:creationId xmlns:a16="http://schemas.microsoft.com/office/drawing/2014/main" id="{B41EA60F-3779-E662-34D5-316B28236BED}"/>
            </a:ext>
          </a:extLst>
        </xdr:cNvPr>
        <xdr:cNvSpPr/>
      </xdr:nvSpPr>
      <xdr:spPr>
        <a:xfrm>
          <a:off x="5956300" y="250863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638</xdr:row>
      <xdr:rowOff>12700</xdr:rowOff>
    </xdr:from>
    <xdr:to>
      <xdr:col>10</xdr:col>
      <xdr:colOff>673100</xdr:colOff>
      <xdr:row>638</xdr:row>
      <xdr:rowOff>168275</xdr:rowOff>
    </xdr:to>
    <xdr:sp macro="[0]!SelectBarterOffer" textlink="">
      <xdr:nvSpPr>
        <xdr:cNvPr id="1843" name="BarterBtn_2_639_2" descr="5|639|2">
          <a:extLst>
            <a:ext uri="{FF2B5EF4-FFF2-40B4-BE49-F238E27FC236}">
              <a16:creationId xmlns:a16="http://schemas.microsoft.com/office/drawing/2014/main" id="{D2FD03E6-6911-7B40-B58B-32D40D43DCFB}"/>
            </a:ext>
          </a:extLst>
        </xdr:cNvPr>
        <xdr:cNvSpPr/>
      </xdr:nvSpPr>
      <xdr:spPr>
        <a:xfrm>
          <a:off x="8013700" y="250863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645</xdr:row>
      <xdr:rowOff>12700</xdr:rowOff>
    </xdr:from>
    <xdr:to>
      <xdr:col>7</xdr:col>
      <xdr:colOff>673100</xdr:colOff>
      <xdr:row>645</xdr:row>
      <xdr:rowOff>168275</xdr:rowOff>
    </xdr:to>
    <xdr:sp macro="[0]!SelectBarterOffer" textlink="">
      <xdr:nvSpPr>
        <xdr:cNvPr id="1844" name="BarterBtn_2_646_1" descr="5|646|1">
          <a:extLst>
            <a:ext uri="{FF2B5EF4-FFF2-40B4-BE49-F238E27FC236}">
              <a16:creationId xmlns:a16="http://schemas.microsoft.com/office/drawing/2014/main" id="{70B35A3C-2855-5EA8-1788-0AACDE8495CC}"/>
            </a:ext>
          </a:extLst>
        </xdr:cNvPr>
        <xdr:cNvSpPr/>
      </xdr:nvSpPr>
      <xdr:spPr>
        <a:xfrm>
          <a:off x="5956300" y="253615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645</xdr:row>
      <xdr:rowOff>12700</xdr:rowOff>
    </xdr:from>
    <xdr:to>
      <xdr:col>10</xdr:col>
      <xdr:colOff>673100</xdr:colOff>
      <xdr:row>645</xdr:row>
      <xdr:rowOff>168275</xdr:rowOff>
    </xdr:to>
    <xdr:sp macro="[0]!SelectBarterOffer" textlink="">
      <xdr:nvSpPr>
        <xdr:cNvPr id="1845" name="BarterBtn_2_646_2" descr="5|646|2">
          <a:extLst>
            <a:ext uri="{FF2B5EF4-FFF2-40B4-BE49-F238E27FC236}">
              <a16:creationId xmlns:a16="http://schemas.microsoft.com/office/drawing/2014/main" id="{4A23C557-4753-96BB-F144-92FAACA7F6EB}"/>
            </a:ext>
          </a:extLst>
        </xdr:cNvPr>
        <xdr:cNvSpPr/>
      </xdr:nvSpPr>
      <xdr:spPr>
        <a:xfrm>
          <a:off x="8013700" y="253615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652</xdr:row>
      <xdr:rowOff>12700</xdr:rowOff>
    </xdr:from>
    <xdr:to>
      <xdr:col>7</xdr:col>
      <xdr:colOff>673100</xdr:colOff>
      <xdr:row>652</xdr:row>
      <xdr:rowOff>168275</xdr:rowOff>
    </xdr:to>
    <xdr:sp macro="[0]!SelectBarterOffer" textlink="">
      <xdr:nvSpPr>
        <xdr:cNvPr id="1846" name="BarterBtn_2_653_1" descr="5|653|1">
          <a:extLst>
            <a:ext uri="{FF2B5EF4-FFF2-40B4-BE49-F238E27FC236}">
              <a16:creationId xmlns:a16="http://schemas.microsoft.com/office/drawing/2014/main" id="{ACF99082-EF58-5219-4092-2867D418970A}"/>
            </a:ext>
          </a:extLst>
        </xdr:cNvPr>
        <xdr:cNvSpPr/>
      </xdr:nvSpPr>
      <xdr:spPr>
        <a:xfrm>
          <a:off x="5956300" y="256368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652</xdr:row>
      <xdr:rowOff>12700</xdr:rowOff>
    </xdr:from>
    <xdr:to>
      <xdr:col>10</xdr:col>
      <xdr:colOff>673100</xdr:colOff>
      <xdr:row>652</xdr:row>
      <xdr:rowOff>168275</xdr:rowOff>
    </xdr:to>
    <xdr:sp macro="[0]!SelectBarterOffer" textlink="">
      <xdr:nvSpPr>
        <xdr:cNvPr id="1847" name="BarterBtn_2_653_2" descr="5|653|2">
          <a:extLst>
            <a:ext uri="{FF2B5EF4-FFF2-40B4-BE49-F238E27FC236}">
              <a16:creationId xmlns:a16="http://schemas.microsoft.com/office/drawing/2014/main" id="{28447FF0-5AC4-9595-9E1E-5AF5289B8D40}"/>
            </a:ext>
          </a:extLst>
        </xdr:cNvPr>
        <xdr:cNvSpPr/>
      </xdr:nvSpPr>
      <xdr:spPr>
        <a:xfrm>
          <a:off x="8013700" y="256368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659</xdr:row>
      <xdr:rowOff>12700</xdr:rowOff>
    </xdr:from>
    <xdr:to>
      <xdr:col>7</xdr:col>
      <xdr:colOff>673100</xdr:colOff>
      <xdr:row>659</xdr:row>
      <xdr:rowOff>168275</xdr:rowOff>
    </xdr:to>
    <xdr:sp macro="[0]!SelectBarterOffer" textlink="">
      <xdr:nvSpPr>
        <xdr:cNvPr id="1848" name="BarterBtn_2_660_1" descr="5|660|1">
          <a:extLst>
            <a:ext uri="{FF2B5EF4-FFF2-40B4-BE49-F238E27FC236}">
              <a16:creationId xmlns:a16="http://schemas.microsoft.com/office/drawing/2014/main" id="{890CF7DF-AAB9-43D3-EF18-E343C411CD87}"/>
            </a:ext>
          </a:extLst>
        </xdr:cNvPr>
        <xdr:cNvSpPr/>
      </xdr:nvSpPr>
      <xdr:spPr>
        <a:xfrm>
          <a:off x="5956300" y="259121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659</xdr:row>
      <xdr:rowOff>12700</xdr:rowOff>
    </xdr:from>
    <xdr:to>
      <xdr:col>10</xdr:col>
      <xdr:colOff>673100</xdr:colOff>
      <xdr:row>659</xdr:row>
      <xdr:rowOff>168275</xdr:rowOff>
    </xdr:to>
    <xdr:sp macro="[0]!SelectBarterOffer" textlink="">
      <xdr:nvSpPr>
        <xdr:cNvPr id="1849" name="BarterBtn_2_660_2" descr="5|660|2">
          <a:extLst>
            <a:ext uri="{FF2B5EF4-FFF2-40B4-BE49-F238E27FC236}">
              <a16:creationId xmlns:a16="http://schemas.microsoft.com/office/drawing/2014/main" id="{5B4A5553-9700-F78D-961A-B82E685E8120}"/>
            </a:ext>
          </a:extLst>
        </xdr:cNvPr>
        <xdr:cNvSpPr/>
      </xdr:nvSpPr>
      <xdr:spPr>
        <a:xfrm>
          <a:off x="8013700" y="259121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666</xdr:row>
      <xdr:rowOff>12700</xdr:rowOff>
    </xdr:from>
    <xdr:to>
      <xdr:col>7</xdr:col>
      <xdr:colOff>673100</xdr:colOff>
      <xdr:row>666</xdr:row>
      <xdr:rowOff>168275</xdr:rowOff>
    </xdr:to>
    <xdr:sp macro="[0]!SelectBarterOffer" textlink="">
      <xdr:nvSpPr>
        <xdr:cNvPr id="1850" name="BarterBtn_2_667_1" descr="5|667|1">
          <a:extLst>
            <a:ext uri="{FF2B5EF4-FFF2-40B4-BE49-F238E27FC236}">
              <a16:creationId xmlns:a16="http://schemas.microsoft.com/office/drawing/2014/main" id="{28B350BB-FE05-22F7-9AAD-A5398BE391B1}"/>
            </a:ext>
          </a:extLst>
        </xdr:cNvPr>
        <xdr:cNvSpPr/>
      </xdr:nvSpPr>
      <xdr:spPr>
        <a:xfrm>
          <a:off x="5956300" y="261874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666</xdr:row>
      <xdr:rowOff>12700</xdr:rowOff>
    </xdr:from>
    <xdr:to>
      <xdr:col>10</xdr:col>
      <xdr:colOff>673100</xdr:colOff>
      <xdr:row>666</xdr:row>
      <xdr:rowOff>168275</xdr:rowOff>
    </xdr:to>
    <xdr:sp macro="[0]!SelectBarterOffer" textlink="">
      <xdr:nvSpPr>
        <xdr:cNvPr id="1851" name="BarterBtn_2_667_2" descr="5|667|2">
          <a:extLst>
            <a:ext uri="{FF2B5EF4-FFF2-40B4-BE49-F238E27FC236}">
              <a16:creationId xmlns:a16="http://schemas.microsoft.com/office/drawing/2014/main" id="{FC8508E1-F7FA-07E6-1B29-A9BF491A9D1C}"/>
            </a:ext>
          </a:extLst>
        </xdr:cNvPr>
        <xdr:cNvSpPr/>
      </xdr:nvSpPr>
      <xdr:spPr>
        <a:xfrm>
          <a:off x="8013700" y="261874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673</xdr:row>
      <xdr:rowOff>12700</xdr:rowOff>
    </xdr:from>
    <xdr:to>
      <xdr:col>7</xdr:col>
      <xdr:colOff>673100</xdr:colOff>
      <xdr:row>673</xdr:row>
      <xdr:rowOff>168275</xdr:rowOff>
    </xdr:to>
    <xdr:sp macro="[0]!SelectBarterOffer" textlink="">
      <xdr:nvSpPr>
        <xdr:cNvPr id="1852" name="BarterBtn_2_674_1" descr="5|674|1">
          <a:extLst>
            <a:ext uri="{FF2B5EF4-FFF2-40B4-BE49-F238E27FC236}">
              <a16:creationId xmlns:a16="http://schemas.microsoft.com/office/drawing/2014/main" id="{ECC98D03-3483-7350-8CDB-0DAD30942316}"/>
            </a:ext>
          </a:extLst>
        </xdr:cNvPr>
        <xdr:cNvSpPr/>
      </xdr:nvSpPr>
      <xdr:spPr>
        <a:xfrm>
          <a:off x="5956300" y="264626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673</xdr:row>
      <xdr:rowOff>12700</xdr:rowOff>
    </xdr:from>
    <xdr:to>
      <xdr:col>10</xdr:col>
      <xdr:colOff>673100</xdr:colOff>
      <xdr:row>673</xdr:row>
      <xdr:rowOff>168275</xdr:rowOff>
    </xdr:to>
    <xdr:sp macro="[0]!SelectBarterOffer" textlink="">
      <xdr:nvSpPr>
        <xdr:cNvPr id="1853" name="BarterBtn_2_674_2" descr="5|674|2">
          <a:extLst>
            <a:ext uri="{FF2B5EF4-FFF2-40B4-BE49-F238E27FC236}">
              <a16:creationId xmlns:a16="http://schemas.microsoft.com/office/drawing/2014/main" id="{9347C4C7-0B92-50A7-F938-442F71977E8F}"/>
            </a:ext>
          </a:extLst>
        </xdr:cNvPr>
        <xdr:cNvSpPr/>
      </xdr:nvSpPr>
      <xdr:spPr>
        <a:xfrm>
          <a:off x="8013700" y="264626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680</xdr:row>
      <xdr:rowOff>12700</xdr:rowOff>
    </xdr:from>
    <xdr:to>
      <xdr:col>7</xdr:col>
      <xdr:colOff>673100</xdr:colOff>
      <xdr:row>680</xdr:row>
      <xdr:rowOff>168275</xdr:rowOff>
    </xdr:to>
    <xdr:sp macro="[0]!SelectBarterOffer" textlink="">
      <xdr:nvSpPr>
        <xdr:cNvPr id="1854" name="BarterBtn_2_681_1" descr="5|681|1">
          <a:extLst>
            <a:ext uri="{FF2B5EF4-FFF2-40B4-BE49-F238E27FC236}">
              <a16:creationId xmlns:a16="http://schemas.microsoft.com/office/drawing/2014/main" id="{F4B6FD05-DF49-45AD-5697-D93E5C74F656}"/>
            </a:ext>
          </a:extLst>
        </xdr:cNvPr>
        <xdr:cNvSpPr/>
      </xdr:nvSpPr>
      <xdr:spPr>
        <a:xfrm>
          <a:off x="5956300" y="267379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680</xdr:row>
      <xdr:rowOff>12700</xdr:rowOff>
    </xdr:from>
    <xdr:to>
      <xdr:col>10</xdr:col>
      <xdr:colOff>673100</xdr:colOff>
      <xdr:row>680</xdr:row>
      <xdr:rowOff>168275</xdr:rowOff>
    </xdr:to>
    <xdr:sp macro="[0]!SelectBarterOffer" textlink="">
      <xdr:nvSpPr>
        <xdr:cNvPr id="1855" name="BarterBtn_2_681_2" descr="5|681|2">
          <a:extLst>
            <a:ext uri="{FF2B5EF4-FFF2-40B4-BE49-F238E27FC236}">
              <a16:creationId xmlns:a16="http://schemas.microsoft.com/office/drawing/2014/main" id="{929B9E38-C5D8-CF2C-600E-595D3A7209CC}"/>
            </a:ext>
          </a:extLst>
        </xdr:cNvPr>
        <xdr:cNvSpPr/>
      </xdr:nvSpPr>
      <xdr:spPr>
        <a:xfrm>
          <a:off x="8013700" y="267379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687</xdr:row>
      <xdr:rowOff>12700</xdr:rowOff>
    </xdr:from>
    <xdr:to>
      <xdr:col>7</xdr:col>
      <xdr:colOff>673100</xdr:colOff>
      <xdr:row>687</xdr:row>
      <xdr:rowOff>168275</xdr:rowOff>
    </xdr:to>
    <xdr:sp macro="[0]!SelectBarterOffer" textlink="">
      <xdr:nvSpPr>
        <xdr:cNvPr id="1856" name="BarterBtn_2_688_1" descr="5|688|1">
          <a:extLst>
            <a:ext uri="{FF2B5EF4-FFF2-40B4-BE49-F238E27FC236}">
              <a16:creationId xmlns:a16="http://schemas.microsoft.com/office/drawing/2014/main" id="{602FEA66-0A29-00C8-A85F-204C7C204914}"/>
            </a:ext>
          </a:extLst>
        </xdr:cNvPr>
        <xdr:cNvSpPr/>
      </xdr:nvSpPr>
      <xdr:spPr>
        <a:xfrm>
          <a:off x="5956300" y="270132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687</xdr:row>
      <xdr:rowOff>12700</xdr:rowOff>
    </xdr:from>
    <xdr:to>
      <xdr:col>10</xdr:col>
      <xdr:colOff>673100</xdr:colOff>
      <xdr:row>687</xdr:row>
      <xdr:rowOff>168275</xdr:rowOff>
    </xdr:to>
    <xdr:sp macro="[0]!SelectBarterOffer" textlink="">
      <xdr:nvSpPr>
        <xdr:cNvPr id="1857" name="BarterBtn_2_688_2" descr="5|688|2">
          <a:extLst>
            <a:ext uri="{FF2B5EF4-FFF2-40B4-BE49-F238E27FC236}">
              <a16:creationId xmlns:a16="http://schemas.microsoft.com/office/drawing/2014/main" id="{F3A5F9FD-32B0-ADDA-D6E0-5796CC6B9FEE}"/>
            </a:ext>
          </a:extLst>
        </xdr:cNvPr>
        <xdr:cNvSpPr/>
      </xdr:nvSpPr>
      <xdr:spPr>
        <a:xfrm>
          <a:off x="8013700" y="270132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694</xdr:row>
      <xdr:rowOff>12700</xdr:rowOff>
    </xdr:from>
    <xdr:to>
      <xdr:col>7</xdr:col>
      <xdr:colOff>673100</xdr:colOff>
      <xdr:row>694</xdr:row>
      <xdr:rowOff>168275</xdr:rowOff>
    </xdr:to>
    <xdr:sp macro="[0]!SelectBarterOffer" textlink="">
      <xdr:nvSpPr>
        <xdr:cNvPr id="1858" name="BarterBtn_2_695_1" descr="5|695|1">
          <a:extLst>
            <a:ext uri="{FF2B5EF4-FFF2-40B4-BE49-F238E27FC236}">
              <a16:creationId xmlns:a16="http://schemas.microsoft.com/office/drawing/2014/main" id="{DC68F913-A18D-356C-9331-0A65C371D0B3}"/>
            </a:ext>
          </a:extLst>
        </xdr:cNvPr>
        <xdr:cNvSpPr/>
      </xdr:nvSpPr>
      <xdr:spPr>
        <a:xfrm>
          <a:off x="5956300" y="272884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694</xdr:row>
      <xdr:rowOff>12700</xdr:rowOff>
    </xdr:from>
    <xdr:to>
      <xdr:col>10</xdr:col>
      <xdr:colOff>673100</xdr:colOff>
      <xdr:row>694</xdr:row>
      <xdr:rowOff>168275</xdr:rowOff>
    </xdr:to>
    <xdr:sp macro="[0]!SelectBarterOffer" textlink="">
      <xdr:nvSpPr>
        <xdr:cNvPr id="1859" name="BarterBtn_2_695_2" descr="5|695|2">
          <a:extLst>
            <a:ext uri="{FF2B5EF4-FFF2-40B4-BE49-F238E27FC236}">
              <a16:creationId xmlns:a16="http://schemas.microsoft.com/office/drawing/2014/main" id="{8027E78B-7CC5-4975-4901-9379E8401CCF}"/>
            </a:ext>
          </a:extLst>
        </xdr:cNvPr>
        <xdr:cNvSpPr/>
      </xdr:nvSpPr>
      <xdr:spPr>
        <a:xfrm>
          <a:off x="8013700" y="272884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701</xdr:row>
      <xdr:rowOff>12700</xdr:rowOff>
    </xdr:from>
    <xdr:to>
      <xdr:col>7</xdr:col>
      <xdr:colOff>673100</xdr:colOff>
      <xdr:row>701</xdr:row>
      <xdr:rowOff>168275</xdr:rowOff>
    </xdr:to>
    <xdr:sp macro="[0]!SelectBarterOffer" textlink="">
      <xdr:nvSpPr>
        <xdr:cNvPr id="1860" name="BarterBtn_2_702_1" descr="5|702|1">
          <a:extLst>
            <a:ext uri="{FF2B5EF4-FFF2-40B4-BE49-F238E27FC236}">
              <a16:creationId xmlns:a16="http://schemas.microsoft.com/office/drawing/2014/main" id="{095CB008-F10C-7EDB-C915-128C4F006781}"/>
            </a:ext>
          </a:extLst>
        </xdr:cNvPr>
        <xdr:cNvSpPr/>
      </xdr:nvSpPr>
      <xdr:spPr>
        <a:xfrm>
          <a:off x="5956300" y="275637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708</xdr:row>
      <xdr:rowOff>12700</xdr:rowOff>
    </xdr:from>
    <xdr:to>
      <xdr:col>7</xdr:col>
      <xdr:colOff>673100</xdr:colOff>
      <xdr:row>708</xdr:row>
      <xdr:rowOff>168275</xdr:rowOff>
    </xdr:to>
    <xdr:sp macro="[0]!SelectBarterOffer" textlink="">
      <xdr:nvSpPr>
        <xdr:cNvPr id="1861" name="BarterBtn_2_709_1" descr="5|709|1">
          <a:extLst>
            <a:ext uri="{FF2B5EF4-FFF2-40B4-BE49-F238E27FC236}">
              <a16:creationId xmlns:a16="http://schemas.microsoft.com/office/drawing/2014/main" id="{A1D8BEA2-6D3F-61C9-ED30-6D2572B3D833}"/>
            </a:ext>
          </a:extLst>
        </xdr:cNvPr>
        <xdr:cNvSpPr/>
      </xdr:nvSpPr>
      <xdr:spPr>
        <a:xfrm>
          <a:off x="5956300" y="278390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715</xdr:row>
      <xdr:rowOff>12700</xdr:rowOff>
    </xdr:from>
    <xdr:to>
      <xdr:col>7</xdr:col>
      <xdr:colOff>673100</xdr:colOff>
      <xdr:row>715</xdr:row>
      <xdr:rowOff>168275</xdr:rowOff>
    </xdr:to>
    <xdr:sp macro="[0]!SelectBarterOffer" textlink="">
      <xdr:nvSpPr>
        <xdr:cNvPr id="1862" name="BarterBtn_2_716_1" descr="5|716|1">
          <a:extLst>
            <a:ext uri="{FF2B5EF4-FFF2-40B4-BE49-F238E27FC236}">
              <a16:creationId xmlns:a16="http://schemas.microsoft.com/office/drawing/2014/main" id="{05AD8A8B-AAFA-138F-6390-8ED226D21F04}"/>
            </a:ext>
          </a:extLst>
        </xdr:cNvPr>
        <xdr:cNvSpPr/>
      </xdr:nvSpPr>
      <xdr:spPr>
        <a:xfrm>
          <a:off x="5956300" y="281143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715</xdr:row>
      <xdr:rowOff>12700</xdr:rowOff>
    </xdr:from>
    <xdr:to>
      <xdr:col>10</xdr:col>
      <xdr:colOff>673100</xdr:colOff>
      <xdr:row>715</xdr:row>
      <xdr:rowOff>168275</xdr:rowOff>
    </xdr:to>
    <xdr:sp macro="[0]!SelectBarterOffer" textlink="">
      <xdr:nvSpPr>
        <xdr:cNvPr id="1863" name="BarterBtn_2_716_2" descr="5|716|2">
          <a:extLst>
            <a:ext uri="{FF2B5EF4-FFF2-40B4-BE49-F238E27FC236}">
              <a16:creationId xmlns:a16="http://schemas.microsoft.com/office/drawing/2014/main" id="{FBFE144C-C65F-FF55-B9C1-31E8A31A7B0D}"/>
            </a:ext>
          </a:extLst>
        </xdr:cNvPr>
        <xdr:cNvSpPr/>
      </xdr:nvSpPr>
      <xdr:spPr>
        <a:xfrm>
          <a:off x="8013700" y="281143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722</xdr:row>
      <xdr:rowOff>12700</xdr:rowOff>
    </xdr:from>
    <xdr:to>
      <xdr:col>7</xdr:col>
      <xdr:colOff>673100</xdr:colOff>
      <xdr:row>722</xdr:row>
      <xdr:rowOff>168275</xdr:rowOff>
    </xdr:to>
    <xdr:sp macro="[0]!SelectBarterOffer" textlink="">
      <xdr:nvSpPr>
        <xdr:cNvPr id="1864" name="BarterBtn_2_723_1" descr="5|723|1">
          <a:extLst>
            <a:ext uri="{FF2B5EF4-FFF2-40B4-BE49-F238E27FC236}">
              <a16:creationId xmlns:a16="http://schemas.microsoft.com/office/drawing/2014/main" id="{526590AC-204F-CA1D-1FC9-B87A3C115F06}"/>
            </a:ext>
          </a:extLst>
        </xdr:cNvPr>
        <xdr:cNvSpPr/>
      </xdr:nvSpPr>
      <xdr:spPr>
        <a:xfrm>
          <a:off x="5956300" y="283895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722</xdr:row>
      <xdr:rowOff>12700</xdr:rowOff>
    </xdr:from>
    <xdr:to>
      <xdr:col>10</xdr:col>
      <xdr:colOff>673100</xdr:colOff>
      <xdr:row>722</xdr:row>
      <xdr:rowOff>168275</xdr:rowOff>
    </xdr:to>
    <xdr:sp macro="[0]!SelectBarterOffer" textlink="">
      <xdr:nvSpPr>
        <xdr:cNvPr id="1865" name="BarterBtn_2_723_2" descr="5|723|2">
          <a:extLst>
            <a:ext uri="{FF2B5EF4-FFF2-40B4-BE49-F238E27FC236}">
              <a16:creationId xmlns:a16="http://schemas.microsoft.com/office/drawing/2014/main" id="{8364DC25-A1B3-317E-820A-0E1797A8C684}"/>
            </a:ext>
          </a:extLst>
        </xdr:cNvPr>
        <xdr:cNvSpPr/>
      </xdr:nvSpPr>
      <xdr:spPr>
        <a:xfrm>
          <a:off x="8013700" y="283895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729</xdr:row>
      <xdr:rowOff>12700</xdr:rowOff>
    </xdr:from>
    <xdr:to>
      <xdr:col>7</xdr:col>
      <xdr:colOff>673100</xdr:colOff>
      <xdr:row>729</xdr:row>
      <xdr:rowOff>168275</xdr:rowOff>
    </xdr:to>
    <xdr:sp macro="[0]!SelectBarterOffer" textlink="">
      <xdr:nvSpPr>
        <xdr:cNvPr id="1866" name="BarterBtn_2_730_1" descr="5|730|1">
          <a:extLst>
            <a:ext uri="{FF2B5EF4-FFF2-40B4-BE49-F238E27FC236}">
              <a16:creationId xmlns:a16="http://schemas.microsoft.com/office/drawing/2014/main" id="{F0BD1EC6-1798-7D2A-774B-1A8CC4B6834F}"/>
            </a:ext>
          </a:extLst>
        </xdr:cNvPr>
        <xdr:cNvSpPr/>
      </xdr:nvSpPr>
      <xdr:spPr>
        <a:xfrm>
          <a:off x="5956300" y="286648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729</xdr:row>
      <xdr:rowOff>12700</xdr:rowOff>
    </xdr:from>
    <xdr:to>
      <xdr:col>10</xdr:col>
      <xdr:colOff>673100</xdr:colOff>
      <xdr:row>729</xdr:row>
      <xdr:rowOff>168275</xdr:rowOff>
    </xdr:to>
    <xdr:sp macro="[0]!SelectBarterOffer" textlink="">
      <xdr:nvSpPr>
        <xdr:cNvPr id="1867" name="BarterBtn_2_730_2" descr="5|730|2">
          <a:extLst>
            <a:ext uri="{FF2B5EF4-FFF2-40B4-BE49-F238E27FC236}">
              <a16:creationId xmlns:a16="http://schemas.microsoft.com/office/drawing/2014/main" id="{EABBA01B-76DB-BBEE-8C82-435E65DFFB16}"/>
            </a:ext>
          </a:extLst>
        </xdr:cNvPr>
        <xdr:cNvSpPr/>
      </xdr:nvSpPr>
      <xdr:spPr>
        <a:xfrm>
          <a:off x="8013700" y="286648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736</xdr:row>
      <xdr:rowOff>12700</xdr:rowOff>
    </xdr:from>
    <xdr:to>
      <xdr:col>7</xdr:col>
      <xdr:colOff>673100</xdr:colOff>
      <xdr:row>736</xdr:row>
      <xdr:rowOff>168275</xdr:rowOff>
    </xdr:to>
    <xdr:sp macro="[0]!SelectBarterOffer" textlink="">
      <xdr:nvSpPr>
        <xdr:cNvPr id="1868" name="BarterBtn_2_737_1" descr="5|737|1">
          <a:extLst>
            <a:ext uri="{FF2B5EF4-FFF2-40B4-BE49-F238E27FC236}">
              <a16:creationId xmlns:a16="http://schemas.microsoft.com/office/drawing/2014/main" id="{3B618FBF-DA6D-57E0-23A6-36C3A1A494BF}"/>
            </a:ext>
          </a:extLst>
        </xdr:cNvPr>
        <xdr:cNvSpPr/>
      </xdr:nvSpPr>
      <xdr:spPr>
        <a:xfrm>
          <a:off x="5956300" y="289401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736</xdr:row>
      <xdr:rowOff>12700</xdr:rowOff>
    </xdr:from>
    <xdr:to>
      <xdr:col>10</xdr:col>
      <xdr:colOff>673100</xdr:colOff>
      <xdr:row>736</xdr:row>
      <xdr:rowOff>168275</xdr:rowOff>
    </xdr:to>
    <xdr:sp macro="[0]!SelectBarterOffer" textlink="">
      <xdr:nvSpPr>
        <xdr:cNvPr id="1869" name="BarterBtn_2_737_2" descr="5|737|2">
          <a:extLst>
            <a:ext uri="{FF2B5EF4-FFF2-40B4-BE49-F238E27FC236}">
              <a16:creationId xmlns:a16="http://schemas.microsoft.com/office/drawing/2014/main" id="{76B34D6A-DF9C-BE10-75AA-992B2AE5E5A7}"/>
            </a:ext>
          </a:extLst>
        </xdr:cNvPr>
        <xdr:cNvSpPr/>
      </xdr:nvSpPr>
      <xdr:spPr>
        <a:xfrm>
          <a:off x="8013700" y="289401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743</xdr:row>
      <xdr:rowOff>12700</xdr:rowOff>
    </xdr:from>
    <xdr:to>
      <xdr:col>7</xdr:col>
      <xdr:colOff>673100</xdr:colOff>
      <xdr:row>743</xdr:row>
      <xdr:rowOff>168275</xdr:rowOff>
    </xdr:to>
    <xdr:sp macro="[0]!SelectBarterOffer" textlink="">
      <xdr:nvSpPr>
        <xdr:cNvPr id="1870" name="BarterBtn_2_744_1" descr="5|744|1">
          <a:extLst>
            <a:ext uri="{FF2B5EF4-FFF2-40B4-BE49-F238E27FC236}">
              <a16:creationId xmlns:a16="http://schemas.microsoft.com/office/drawing/2014/main" id="{25CAFE0C-A022-56BC-9B12-35F5C88C3233}"/>
            </a:ext>
          </a:extLst>
        </xdr:cNvPr>
        <xdr:cNvSpPr/>
      </xdr:nvSpPr>
      <xdr:spPr>
        <a:xfrm>
          <a:off x="5956300" y="292153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743</xdr:row>
      <xdr:rowOff>12700</xdr:rowOff>
    </xdr:from>
    <xdr:to>
      <xdr:col>10</xdr:col>
      <xdr:colOff>673100</xdr:colOff>
      <xdr:row>743</xdr:row>
      <xdr:rowOff>168275</xdr:rowOff>
    </xdr:to>
    <xdr:sp macro="[0]!SelectBarterOffer" textlink="">
      <xdr:nvSpPr>
        <xdr:cNvPr id="1871" name="BarterBtn_2_744_2" descr="5|744|2">
          <a:extLst>
            <a:ext uri="{FF2B5EF4-FFF2-40B4-BE49-F238E27FC236}">
              <a16:creationId xmlns:a16="http://schemas.microsoft.com/office/drawing/2014/main" id="{6F1BD6DC-1132-F5FD-09A2-CE1995D81CF7}"/>
            </a:ext>
          </a:extLst>
        </xdr:cNvPr>
        <xdr:cNvSpPr/>
      </xdr:nvSpPr>
      <xdr:spPr>
        <a:xfrm>
          <a:off x="8013700" y="292153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750</xdr:row>
      <xdr:rowOff>12700</xdr:rowOff>
    </xdr:from>
    <xdr:to>
      <xdr:col>7</xdr:col>
      <xdr:colOff>673100</xdr:colOff>
      <xdr:row>750</xdr:row>
      <xdr:rowOff>168275</xdr:rowOff>
    </xdr:to>
    <xdr:sp macro="[0]!SelectBarterOffer" textlink="">
      <xdr:nvSpPr>
        <xdr:cNvPr id="1872" name="BarterBtn_2_751_1" descr="5|751|1">
          <a:extLst>
            <a:ext uri="{FF2B5EF4-FFF2-40B4-BE49-F238E27FC236}">
              <a16:creationId xmlns:a16="http://schemas.microsoft.com/office/drawing/2014/main" id="{07DD5CFB-16FB-5716-7EBE-E287F77FDD2B}"/>
            </a:ext>
          </a:extLst>
        </xdr:cNvPr>
        <xdr:cNvSpPr/>
      </xdr:nvSpPr>
      <xdr:spPr>
        <a:xfrm>
          <a:off x="5956300" y="294906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750</xdr:row>
      <xdr:rowOff>12700</xdr:rowOff>
    </xdr:from>
    <xdr:to>
      <xdr:col>10</xdr:col>
      <xdr:colOff>673100</xdr:colOff>
      <xdr:row>750</xdr:row>
      <xdr:rowOff>168275</xdr:rowOff>
    </xdr:to>
    <xdr:sp macro="[0]!SelectBarterOffer" textlink="">
      <xdr:nvSpPr>
        <xdr:cNvPr id="1873" name="BarterBtn_2_751_2" descr="5|751|2">
          <a:extLst>
            <a:ext uri="{FF2B5EF4-FFF2-40B4-BE49-F238E27FC236}">
              <a16:creationId xmlns:a16="http://schemas.microsoft.com/office/drawing/2014/main" id="{64C5BA57-B894-8AD8-3F0C-464A3F987009}"/>
            </a:ext>
          </a:extLst>
        </xdr:cNvPr>
        <xdr:cNvSpPr/>
      </xdr:nvSpPr>
      <xdr:spPr>
        <a:xfrm>
          <a:off x="8013700" y="294906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757</xdr:row>
      <xdr:rowOff>12700</xdr:rowOff>
    </xdr:from>
    <xdr:to>
      <xdr:col>7</xdr:col>
      <xdr:colOff>673100</xdr:colOff>
      <xdr:row>757</xdr:row>
      <xdr:rowOff>168275</xdr:rowOff>
    </xdr:to>
    <xdr:sp macro="[0]!SelectBarterOffer" textlink="">
      <xdr:nvSpPr>
        <xdr:cNvPr id="1874" name="BarterBtn_2_758_1" descr="5|758|1">
          <a:extLst>
            <a:ext uri="{FF2B5EF4-FFF2-40B4-BE49-F238E27FC236}">
              <a16:creationId xmlns:a16="http://schemas.microsoft.com/office/drawing/2014/main" id="{3D19DE2F-4149-5768-1879-0637B72C7805}"/>
            </a:ext>
          </a:extLst>
        </xdr:cNvPr>
        <xdr:cNvSpPr/>
      </xdr:nvSpPr>
      <xdr:spPr>
        <a:xfrm>
          <a:off x="5956300" y="297659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757</xdr:row>
      <xdr:rowOff>12700</xdr:rowOff>
    </xdr:from>
    <xdr:to>
      <xdr:col>10</xdr:col>
      <xdr:colOff>673100</xdr:colOff>
      <xdr:row>757</xdr:row>
      <xdr:rowOff>168275</xdr:rowOff>
    </xdr:to>
    <xdr:sp macro="[0]!SelectBarterOffer" textlink="">
      <xdr:nvSpPr>
        <xdr:cNvPr id="1875" name="BarterBtn_2_758_2" descr="5|758|2">
          <a:extLst>
            <a:ext uri="{FF2B5EF4-FFF2-40B4-BE49-F238E27FC236}">
              <a16:creationId xmlns:a16="http://schemas.microsoft.com/office/drawing/2014/main" id="{097E2394-2081-12C2-1D46-702BC8CD3E32}"/>
            </a:ext>
          </a:extLst>
        </xdr:cNvPr>
        <xdr:cNvSpPr/>
      </xdr:nvSpPr>
      <xdr:spPr>
        <a:xfrm>
          <a:off x="8013700" y="297659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764</xdr:row>
      <xdr:rowOff>12700</xdr:rowOff>
    </xdr:from>
    <xdr:to>
      <xdr:col>7</xdr:col>
      <xdr:colOff>673100</xdr:colOff>
      <xdr:row>764</xdr:row>
      <xdr:rowOff>168275</xdr:rowOff>
    </xdr:to>
    <xdr:sp macro="[0]!SelectBarterOffer" textlink="">
      <xdr:nvSpPr>
        <xdr:cNvPr id="1876" name="BarterBtn_2_765_1" descr="5|765|1">
          <a:extLst>
            <a:ext uri="{FF2B5EF4-FFF2-40B4-BE49-F238E27FC236}">
              <a16:creationId xmlns:a16="http://schemas.microsoft.com/office/drawing/2014/main" id="{ED279E8D-FA54-0694-EBCD-9B96C00A42DB}"/>
            </a:ext>
          </a:extLst>
        </xdr:cNvPr>
        <xdr:cNvSpPr/>
      </xdr:nvSpPr>
      <xdr:spPr>
        <a:xfrm>
          <a:off x="5956300" y="300412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764</xdr:row>
      <xdr:rowOff>12700</xdr:rowOff>
    </xdr:from>
    <xdr:to>
      <xdr:col>10</xdr:col>
      <xdr:colOff>673100</xdr:colOff>
      <xdr:row>764</xdr:row>
      <xdr:rowOff>168275</xdr:rowOff>
    </xdr:to>
    <xdr:sp macro="[0]!SelectBarterOffer" textlink="">
      <xdr:nvSpPr>
        <xdr:cNvPr id="1877" name="BarterBtn_2_765_2" descr="5|765|2">
          <a:extLst>
            <a:ext uri="{FF2B5EF4-FFF2-40B4-BE49-F238E27FC236}">
              <a16:creationId xmlns:a16="http://schemas.microsoft.com/office/drawing/2014/main" id="{44BFC473-57C7-C599-2EE1-53B4BF1830C9}"/>
            </a:ext>
          </a:extLst>
        </xdr:cNvPr>
        <xdr:cNvSpPr/>
      </xdr:nvSpPr>
      <xdr:spPr>
        <a:xfrm>
          <a:off x="8013700" y="300412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771</xdr:row>
      <xdr:rowOff>12700</xdr:rowOff>
    </xdr:from>
    <xdr:to>
      <xdr:col>7</xdr:col>
      <xdr:colOff>673100</xdr:colOff>
      <xdr:row>771</xdr:row>
      <xdr:rowOff>168275</xdr:rowOff>
    </xdr:to>
    <xdr:sp macro="[0]!SelectBarterOffer" textlink="">
      <xdr:nvSpPr>
        <xdr:cNvPr id="1878" name="BarterBtn_2_772_1" descr="5|772|1">
          <a:extLst>
            <a:ext uri="{FF2B5EF4-FFF2-40B4-BE49-F238E27FC236}">
              <a16:creationId xmlns:a16="http://schemas.microsoft.com/office/drawing/2014/main" id="{2C3AF983-D995-93DA-EA40-D660666C7AAB}"/>
            </a:ext>
          </a:extLst>
        </xdr:cNvPr>
        <xdr:cNvSpPr/>
      </xdr:nvSpPr>
      <xdr:spPr>
        <a:xfrm>
          <a:off x="5956300" y="303164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771</xdr:row>
      <xdr:rowOff>12700</xdr:rowOff>
    </xdr:from>
    <xdr:to>
      <xdr:col>10</xdr:col>
      <xdr:colOff>673100</xdr:colOff>
      <xdr:row>771</xdr:row>
      <xdr:rowOff>168275</xdr:rowOff>
    </xdr:to>
    <xdr:sp macro="[0]!SelectBarterOffer" textlink="">
      <xdr:nvSpPr>
        <xdr:cNvPr id="1879" name="BarterBtn_2_772_2" descr="5|772|2">
          <a:extLst>
            <a:ext uri="{FF2B5EF4-FFF2-40B4-BE49-F238E27FC236}">
              <a16:creationId xmlns:a16="http://schemas.microsoft.com/office/drawing/2014/main" id="{38CE28D4-F4A1-50B5-9B37-3DF9C3A7B865}"/>
            </a:ext>
          </a:extLst>
        </xdr:cNvPr>
        <xdr:cNvSpPr/>
      </xdr:nvSpPr>
      <xdr:spPr>
        <a:xfrm>
          <a:off x="8013700" y="303164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778</xdr:row>
      <xdr:rowOff>12700</xdr:rowOff>
    </xdr:from>
    <xdr:to>
      <xdr:col>7</xdr:col>
      <xdr:colOff>673100</xdr:colOff>
      <xdr:row>778</xdr:row>
      <xdr:rowOff>168275</xdr:rowOff>
    </xdr:to>
    <xdr:sp macro="[0]!SelectBarterOffer" textlink="">
      <xdr:nvSpPr>
        <xdr:cNvPr id="1880" name="BarterBtn_2_779_1" descr="5|779|1">
          <a:extLst>
            <a:ext uri="{FF2B5EF4-FFF2-40B4-BE49-F238E27FC236}">
              <a16:creationId xmlns:a16="http://schemas.microsoft.com/office/drawing/2014/main" id="{A1ACCD62-BD38-8333-490B-58835BD57CD1}"/>
            </a:ext>
          </a:extLst>
        </xdr:cNvPr>
        <xdr:cNvSpPr/>
      </xdr:nvSpPr>
      <xdr:spPr>
        <a:xfrm>
          <a:off x="5956300" y="305917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778</xdr:row>
      <xdr:rowOff>12700</xdr:rowOff>
    </xdr:from>
    <xdr:to>
      <xdr:col>10</xdr:col>
      <xdr:colOff>673100</xdr:colOff>
      <xdr:row>778</xdr:row>
      <xdr:rowOff>168275</xdr:rowOff>
    </xdr:to>
    <xdr:sp macro="[0]!SelectBarterOffer" textlink="">
      <xdr:nvSpPr>
        <xdr:cNvPr id="1881" name="BarterBtn_2_779_2" descr="5|779|2">
          <a:extLst>
            <a:ext uri="{FF2B5EF4-FFF2-40B4-BE49-F238E27FC236}">
              <a16:creationId xmlns:a16="http://schemas.microsoft.com/office/drawing/2014/main" id="{0D58FD26-1BFE-5E2E-EE68-C3A4FE54FA17}"/>
            </a:ext>
          </a:extLst>
        </xdr:cNvPr>
        <xdr:cNvSpPr/>
      </xdr:nvSpPr>
      <xdr:spPr>
        <a:xfrm>
          <a:off x="8013700" y="305917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785</xdr:row>
      <xdr:rowOff>12700</xdr:rowOff>
    </xdr:from>
    <xdr:to>
      <xdr:col>7</xdr:col>
      <xdr:colOff>673100</xdr:colOff>
      <xdr:row>785</xdr:row>
      <xdr:rowOff>168275</xdr:rowOff>
    </xdr:to>
    <xdr:sp macro="[0]!SelectBarterOffer" textlink="">
      <xdr:nvSpPr>
        <xdr:cNvPr id="1882" name="BarterBtn_2_786_1" descr="5|786|1">
          <a:extLst>
            <a:ext uri="{FF2B5EF4-FFF2-40B4-BE49-F238E27FC236}">
              <a16:creationId xmlns:a16="http://schemas.microsoft.com/office/drawing/2014/main" id="{482EC13A-5694-A533-B563-1E03075F025E}"/>
            </a:ext>
          </a:extLst>
        </xdr:cNvPr>
        <xdr:cNvSpPr/>
      </xdr:nvSpPr>
      <xdr:spPr>
        <a:xfrm>
          <a:off x="5956300" y="308670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785</xdr:row>
      <xdr:rowOff>12700</xdr:rowOff>
    </xdr:from>
    <xdr:to>
      <xdr:col>10</xdr:col>
      <xdr:colOff>673100</xdr:colOff>
      <xdr:row>785</xdr:row>
      <xdr:rowOff>168275</xdr:rowOff>
    </xdr:to>
    <xdr:sp macro="[0]!SelectBarterOffer" textlink="">
      <xdr:nvSpPr>
        <xdr:cNvPr id="1883" name="BarterBtn_2_786_2" descr="5|786|2">
          <a:extLst>
            <a:ext uri="{FF2B5EF4-FFF2-40B4-BE49-F238E27FC236}">
              <a16:creationId xmlns:a16="http://schemas.microsoft.com/office/drawing/2014/main" id="{9EA3BE14-9AC8-B5C9-2D58-840AD54B20D8}"/>
            </a:ext>
          </a:extLst>
        </xdr:cNvPr>
        <xdr:cNvSpPr/>
      </xdr:nvSpPr>
      <xdr:spPr>
        <a:xfrm>
          <a:off x="8013700" y="308670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792</xdr:row>
      <xdr:rowOff>12700</xdr:rowOff>
    </xdr:from>
    <xdr:to>
      <xdr:col>7</xdr:col>
      <xdr:colOff>673100</xdr:colOff>
      <xdr:row>792</xdr:row>
      <xdr:rowOff>168275</xdr:rowOff>
    </xdr:to>
    <xdr:sp macro="[0]!SelectBarterOffer" textlink="">
      <xdr:nvSpPr>
        <xdr:cNvPr id="1884" name="BarterBtn_2_793_1" descr="5|793|1">
          <a:extLst>
            <a:ext uri="{FF2B5EF4-FFF2-40B4-BE49-F238E27FC236}">
              <a16:creationId xmlns:a16="http://schemas.microsoft.com/office/drawing/2014/main" id="{44612F6C-8C1F-367E-E016-64DC14775472}"/>
            </a:ext>
          </a:extLst>
        </xdr:cNvPr>
        <xdr:cNvSpPr/>
      </xdr:nvSpPr>
      <xdr:spPr>
        <a:xfrm>
          <a:off x="5956300" y="311423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792</xdr:row>
      <xdr:rowOff>12700</xdr:rowOff>
    </xdr:from>
    <xdr:to>
      <xdr:col>10</xdr:col>
      <xdr:colOff>673100</xdr:colOff>
      <xdr:row>792</xdr:row>
      <xdr:rowOff>168275</xdr:rowOff>
    </xdr:to>
    <xdr:sp macro="[0]!SelectBarterOffer" textlink="">
      <xdr:nvSpPr>
        <xdr:cNvPr id="1885" name="BarterBtn_2_793_2" descr="5|793|2">
          <a:extLst>
            <a:ext uri="{FF2B5EF4-FFF2-40B4-BE49-F238E27FC236}">
              <a16:creationId xmlns:a16="http://schemas.microsoft.com/office/drawing/2014/main" id="{12CEDE0A-FC97-AC8A-7274-FD2A0BF2196A}"/>
            </a:ext>
          </a:extLst>
        </xdr:cNvPr>
        <xdr:cNvSpPr/>
      </xdr:nvSpPr>
      <xdr:spPr>
        <a:xfrm>
          <a:off x="8013700" y="311423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799</xdr:row>
      <xdr:rowOff>12700</xdr:rowOff>
    </xdr:from>
    <xdr:to>
      <xdr:col>7</xdr:col>
      <xdr:colOff>673100</xdr:colOff>
      <xdr:row>799</xdr:row>
      <xdr:rowOff>168275</xdr:rowOff>
    </xdr:to>
    <xdr:sp macro="[0]!SelectBarterOffer" textlink="">
      <xdr:nvSpPr>
        <xdr:cNvPr id="1886" name="BarterBtn_2_800_1" descr="5|800|1">
          <a:extLst>
            <a:ext uri="{FF2B5EF4-FFF2-40B4-BE49-F238E27FC236}">
              <a16:creationId xmlns:a16="http://schemas.microsoft.com/office/drawing/2014/main" id="{98A9BE3C-66BB-F239-9655-B27B1D832489}"/>
            </a:ext>
          </a:extLst>
        </xdr:cNvPr>
        <xdr:cNvSpPr/>
      </xdr:nvSpPr>
      <xdr:spPr>
        <a:xfrm>
          <a:off x="5956300" y="314175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799</xdr:row>
      <xdr:rowOff>12700</xdr:rowOff>
    </xdr:from>
    <xdr:to>
      <xdr:col>10</xdr:col>
      <xdr:colOff>673100</xdr:colOff>
      <xdr:row>799</xdr:row>
      <xdr:rowOff>168275</xdr:rowOff>
    </xdr:to>
    <xdr:sp macro="[0]!SelectBarterOffer" textlink="">
      <xdr:nvSpPr>
        <xdr:cNvPr id="1887" name="BarterBtn_2_800_2" descr="5|800|2">
          <a:extLst>
            <a:ext uri="{FF2B5EF4-FFF2-40B4-BE49-F238E27FC236}">
              <a16:creationId xmlns:a16="http://schemas.microsoft.com/office/drawing/2014/main" id="{02F42CC7-1CB6-26CE-00CB-8A785B4D0837}"/>
            </a:ext>
          </a:extLst>
        </xdr:cNvPr>
        <xdr:cNvSpPr/>
      </xdr:nvSpPr>
      <xdr:spPr>
        <a:xfrm>
          <a:off x="8013700" y="314175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806</xdr:row>
      <xdr:rowOff>12700</xdr:rowOff>
    </xdr:from>
    <xdr:to>
      <xdr:col>7</xdr:col>
      <xdr:colOff>673100</xdr:colOff>
      <xdr:row>806</xdr:row>
      <xdr:rowOff>168275</xdr:rowOff>
    </xdr:to>
    <xdr:sp macro="[0]!SelectBarterOffer" textlink="">
      <xdr:nvSpPr>
        <xdr:cNvPr id="1888" name="BarterBtn_2_807_1" descr="5|807|1">
          <a:extLst>
            <a:ext uri="{FF2B5EF4-FFF2-40B4-BE49-F238E27FC236}">
              <a16:creationId xmlns:a16="http://schemas.microsoft.com/office/drawing/2014/main" id="{B78D58C7-0444-6BFE-5AC4-A6A602EAC738}"/>
            </a:ext>
          </a:extLst>
        </xdr:cNvPr>
        <xdr:cNvSpPr/>
      </xdr:nvSpPr>
      <xdr:spPr>
        <a:xfrm>
          <a:off x="5956300" y="316928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813</xdr:row>
      <xdr:rowOff>12700</xdr:rowOff>
    </xdr:from>
    <xdr:to>
      <xdr:col>7</xdr:col>
      <xdr:colOff>673100</xdr:colOff>
      <xdr:row>813</xdr:row>
      <xdr:rowOff>168275</xdr:rowOff>
    </xdr:to>
    <xdr:sp macro="[0]!SelectBarterOffer" textlink="">
      <xdr:nvSpPr>
        <xdr:cNvPr id="1889" name="BarterBtn_2_814_1" descr="5|814|1">
          <a:extLst>
            <a:ext uri="{FF2B5EF4-FFF2-40B4-BE49-F238E27FC236}">
              <a16:creationId xmlns:a16="http://schemas.microsoft.com/office/drawing/2014/main" id="{565AF1B0-CCE1-05AA-6EAB-02E8E2FD2465}"/>
            </a:ext>
          </a:extLst>
        </xdr:cNvPr>
        <xdr:cNvSpPr/>
      </xdr:nvSpPr>
      <xdr:spPr>
        <a:xfrm>
          <a:off x="5956300" y="319681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820</xdr:row>
      <xdr:rowOff>12700</xdr:rowOff>
    </xdr:from>
    <xdr:to>
      <xdr:col>7</xdr:col>
      <xdr:colOff>673100</xdr:colOff>
      <xdr:row>820</xdr:row>
      <xdr:rowOff>168275</xdr:rowOff>
    </xdr:to>
    <xdr:sp macro="[0]!SelectBarterOffer" textlink="">
      <xdr:nvSpPr>
        <xdr:cNvPr id="1890" name="BarterBtn_2_821_1" descr="5|821|1">
          <a:extLst>
            <a:ext uri="{FF2B5EF4-FFF2-40B4-BE49-F238E27FC236}">
              <a16:creationId xmlns:a16="http://schemas.microsoft.com/office/drawing/2014/main" id="{7C1711E4-FBF0-5D76-F267-7DA1831E445D}"/>
            </a:ext>
          </a:extLst>
        </xdr:cNvPr>
        <xdr:cNvSpPr/>
      </xdr:nvSpPr>
      <xdr:spPr>
        <a:xfrm>
          <a:off x="5956300" y="322433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827</xdr:row>
      <xdr:rowOff>12700</xdr:rowOff>
    </xdr:from>
    <xdr:to>
      <xdr:col>7</xdr:col>
      <xdr:colOff>673100</xdr:colOff>
      <xdr:row>827</xdr:row>
      <xdr:rowOff>168275</xdr:rowOff>
    </xdr:to>
    <xdr:sp macro="[0]!SelectBarterOffer" textlink="">
      <xdr:nvSpPr>
        <xdr:cNvPr id="1891" name="BarterBtn_2_828_1" descr="5|828|1">
          <a:extLst>
            <a:ext uri="{FF2B5EF4-FFF2-40B4-BE49-F238E27FC236}">
              <a16:creationId xmlns:a16="http://schemas.microsoft.com/office/drawing/2014/main" id="{E688B6F4-0CCD-D468-F064-1412747170F8}"/>
            </a:ext>
          </a:extLst>
        </xdr:cNvPr>
        <xdr:cNvSpPr/>
      </xdr:nvSpPr>
      <xdr:spPr>
        <a:xfrm>
          <a:off x="5956300" y="325186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834</xdr:row>
      <xdr:rowOff>12700</xdr:rowOff>
    </xdr:from>
    <xdr:to>
      <xdr:col>7</xdr:col>
      <xdr:colOff>673100</xdr:colOff>
      <xdr:row>834</xdr:row>
      <xdr:rowOff>168275</xdr:rowOff>
    </xdr:to>
    <xdr:sp macro="[0]!SelectBarterOffer" textlink="">
      <xdr:nvSpPr>
        <xdr:cNvPr id="1892" name="BarterBtn_2_835_1" descr="5|835|1">
          <a:extLst>
            <a:ext uri="{FF2B5EF4-FFF2-40B4-BE49-F238E27FC236}">
              <a16:creationId xmlns:a16="http://schemas.microsoft.com/office/drawing/2014/main" id="{6E340E90-7BA2-0A3B-343E-8CFEAB9C9351}"/>
            </a:ext>
          </a:extLst>
        </xdr:cNvPr>
        <xdr:cNvSpPr/>
      </xdr:nvSpPr>
      <xdr:spPr>
        <a:xfrm>
          <a:off x="5956300" y="327939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841</xdr:row>
      <xdr:rowOff>12700</xdr:rowOff>
    </xdr:from>
    <xdr:to>
      <xdr:col>7</xdr:col>
      <xdr:colOff>673100</xdr:colOff>
      <xdr:row>841</xdr:row>
      <xdr:rowOff>168275</xdr:rowOff>
    </xdr:to>
    <xdr:sp macro="[0]!SelectBarterOffer" textlink="">
      <xdr:nvSpPr>
        <xdr:cNvPr id="1893" name="BarterBtn_2_842_1" descr="5|842|1">
          <a:extLst>
            <a:ext uri="{FF2B5EF4-FFF2-40B4-BE49-F238E27FC236}">
              <a16:creationId xmlns:a16="http://schemas.microsoft.com/office/drawing/2014/main" id="{6D20E928-01BB-F1D5-63DF-F9092AD65263}"/>
            </a:ext>
          </a:extLst>
        </xdr:cNvPr>
        <xdr:cNvSpPr/>
      </xdr:nvSpPr>
      <xdr:spPr>
        <a:xfrm>
          <a:off x="5956300" y="330692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848</xdr:row>
      <xdr:rowOff>12700</xdr:rowOff>
    </xdr:from>
    <xdr:to>
      <xdr:col>7</xdr:col>
      <xdr:colOff>673100</xdr:colOff>
      <xdr:row>848</xdr:row>
      <xdr:rowOff>168275</xdr:rowOff>
    </xdr:to>
    <xdr:sp macro="[0]!SelectBarterOffer" textlink="">
      <xdr:nvSpPr>
        <xdr:cNvPr id="1894" name="BarterBtn_2_849_1" descr="5|849|1">
          <a:extLst>
            <a:ext uri="{FF2B5EF4-FFF2-40B4-BE49-F238E27FC236}">
              <a16:creationId xmlns:a16="http://schemas.microsoft.com/office/drawing/2014/main" id="{E23BCE14-F410-4C78-4107-FC2AFB5F30D7}"/>
            </a:ext>
          </a:extLst>
        </xdr:cNvPr>
        <xdr:cNvSpPr/>
      </xdr:nvSpPr>
      <xdr:spPr>
        <a:xfrm>
          <a:off x="5956300" y="333444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855</xdr:row>
      <xdr:rowOff>12700</xdr:rowOff>
    </xdr:from>
    <xdr:to>
      <xdr:col>7</xdr:col>
      <xdr:colOff>673100</xdr:colOff>
      <xdr:row>855</xdr:row>
      <xdr:rowOff>168275</xdr:rowOff>
    </xdr:to>
    <xdr:sp macro="[0]!SelectBarterOffer" textlink="">
      <xdr:nvSpPr>
        <xdr:cNvPr id="1895" name="BarterBtn_2_856_1" descr="5|856|1">
          <a:extLst>
            <a:ext uri="{FF2B5EF4-FFF2-40B4-BE49-F238E27FC236}">
              <a16:creationId xmlns:a16="http://schemas.microsoft.com/office/drawing/2014/main" id="{A9EBEAFE-4E3A-C88F-29D6-AD88533D105C}"/>
            </a:ext>
          </a:extLst>
        </xdr:cNvPr>
        <xdr:cNvSpPr/>
      </xdr:nvSpPr>
      <xdr:spPr>
        <a:xfrm>
          <a:off x="5956300" y="336197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862</xdr:row>
      <xdr:rowOff>12700</xdr:rowOff>
    </xdr:from>
    <xdr:to>
      <xdr:col>7</xdr:col>
      <xdr:colOff>673100</xdr:colOff>
      <xdr:row>862</xdr:row>
      <xdr:rowOff>168275</xdr:rowOff>
    </xdr:to>
    <xdr:sp macro="[0]!SelectBarterOffer" textlink="">
      <xdr:nvSpPr>
        <xdr:cNvPr id="1896" name="BarterBtn_2_863_1" descr="5|863|1">
          <a:extLst>
            <a:ext uri="{FF2B5EF4-FFF2-40B4-BE49-F238E27FC236}">
              <a16:creationId xmlns:a16="http://schemas.microsoft.com/office/drawing/2014/main" id="{51E775DD-3C05-C1A3-38E1-78A31A0A824B}"/>
            </a:ext>
          </a:extLst>
        </xdr:cNvPr>
        <xdr:cNvSpPr/>
      </xdr:nvSpPr>
      <xdr:spPr>
        <a:xfrm>
          <a:off x="5956300" y="338950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862</xdr:row>
      <xdr:rowOff>12700</xdr:rowOff>
    </xdr:from>
    <xdr:to>
      <xdr:col>10</xdr:col>
      <xdr:colOff>673100</xdr:colOff>
      <xdr:row>862</xdr:row>
      <xdr:rowOff>168275</xdr:rowOff>
    </xdr:to>
    <xdr:sp macro="[0]!SelectBarterOffer" textlink="">
      <xdr:nvSpPr>
        <xdr:cNvPr id="1897" name="BarterBtn_2_863_2" descr="5|863|2">
          <a:extLst>
            <a:ext uri="{FF2B5EF4-FFF2-40B4-BE49-F238E27FC236}">
              <a16:creationId xmlns:a16="http://schemas.microsoft.com/office/drawing/2014/main" id="{35241164-1638-7244-8155-6A11FC025F60}"/>
            </a:ext>
          </a:extLst>
        </xdr:cNvPr>
        <xdr:cNvSpPr/>
      </xdr:nvSpPr>
      <xdr:spPr>
        <a:xfrm>
          <a:off x="8013700" y="338950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869</xdr:row>
      <xdr:rowOff>12700</xdr:rowOff>
    </xdr:from>
    <xdr:to>
      <xdr:col>7</xdr:col>
      <xdr:colOff>673100</xdr:colOff>
      <xdr:row>869</xdr:row>
      <xdr:rowOff>168275</xdr:rowOff>
    </xdr:to>
    <xdr:sp macro="[0]!SelectBarterOffer" textlink="">
      <xdr:nvSpPr>
        <xdr:cNvPr id="1898" name="BarterBtn_2_870_1" descr="5|870|1">
          <a:extLst>
            <a:ext uri="{FF2B5EF4-FFF2-40B4-BE49-F238E27FC236}">
              <a16:creationId xmlns:a16="http://schemas.microsoft.com/office/drawing/2014/main" id="{880F1900-3473-8984-CD40-ED2A9885C1F2}"/>
            </a:ext>
          </a:extLst>
        </xdr:cNvPr>
        <xdr:cNvSpPr/>
      </xdr:nvSpPr>
      <xdr:spPr>
        <a:xfrm>
          <a:off x="5956300" y="341703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876</xdr:row>
      <xdr:rowOff>12700</xdr:rowOff>
    </xdr:from>
    <xdr:to>
      <xdr:col>7</xdr:col>
      <xdr:colOff>673100</xdr:colOff>
      <xdr:row>876</xdr:row>
      <xdr:rowOff>168275</xdr:rowOff>
    </xdr:to>
    <xdr:sp macro="[0]!SelectBarterOffer" textlink="">
      <xdr:nvSpPr>
        <xdr:cNvPr id="1899" name="BarterBtn_2_877_1" descr="5|877|1">
          <a:extLst>
            <a:ext uri="{FF2B5EF4-FFF2-40B4-BE49-F238E27FC236}">
              <a16:creationId xmlns:a16="http://schemas.microsoft.com/office/drawing/2014/main" id="{8CA0204C-BD3D-DC5D-90AF-12B5D59AA8C2}"/>
            </a:ext>
          </a:extLst>
        </xdr:cNvPr>
        <xdr:cNvSpPr/>
      </xdr:nvSpPr>
      <xdr:spPr>
        <a:xfrm>
          <a:off x="5956300" y="344455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883</xdr:row>
      <xdr:rowOff>12700</xdr:rowOff>
    </xdr:from>
    <xdr:to>
      <xdr:col>7</xdr:col>
      <xdr:colOff>673100</xdr:colOff>
      <xdr:row>883</xdr:row>
      <xdr:rowOff>168275</xdr:rowOff>
    </xdr:to>
    <xdr:sp macro="[0]!SelectBarterOffer" textlink="">
      <xdr:nvSpPr>
        <xdr:cNvPr id="1900" name="BarterBtn_2_884_1" descr="5|884|1">
          <a:extLst>
            <a:ext uri="{FF2B5EF4-FFF2-40B4-BE49-F238E27FC236}">
              <a16:creationId xmlns:a16="http://schemas.microsoft.com/office/drawing/2014/main" id="{A047DE55-7AB1-3DC3-4FDF-6D7A8A957847}"/>
            </a:ext>
          </a:extLst>
        </xdr:cNvPr>
        <xdr:cNvSpPr/>
      </xdr:nvSpPr>
      <xdr:spPr>
        <a:xfrm>
          <a:off x="5956300" y="347208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890</xdr:row>
      <xdr:rowOff>12700</xdr:rowOff>
    </xdr:from>
    <xdr:to>
      <xdr:col>7</xdr:col>
      <xdr:colOff>673100</xdr:colOff>
      <xdr:row>890</xdr:row>
      <xdr:rowOff>168275</xdr:rowOff>
    </xdr:to>
    <xdr:sp macro="[0]!SelectBarterOffer" textlink="">
      <xdr:nvSpPr>
        <xdr:cNvPr id="1901" name="BarterBtn_2_891_1" descr="5|891|1">
          <a:extLst>
            <a:ext uri="{FF2B5EF4-FFF2-40B4-BE49-F238E27FC236}">
              <a16:creationId xmlns:a16="http://schemas.microsoft.com/office/drawing/2014/main" id="{EF71442C-1B34-5E98-F2CF-C59B9A56E52E}"/>
            </a:ext>
          </a:extLst>
        </xdr:cNvPr>
        <xdr:cNvSpPr/>
      </xdr:nvSpPr>
      <xdr:spPr>
        <a:xfrm>
          <a:off x="5956300" y="349961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0</xdr:col>
      <xdr:colOff>50800</xdr:colOff>
      <xdr:row>898</xdr:row>
      <xdr:rowOff>25400</xdr:rowOff>
    </xdr:from>
    <xdr:to>
      <xdr:col>16</xdr:col>
      <xdr:colOff>635000</xdr:colOff>
      <xdr:row>898</xdr:row>
      <xdr:rowOff>558800</xdr:rowOff>
    </xdr:to>
    <xdr:sp macro="" textlink="">
      <xdr:nvSpPr>
        <xdr:cNvPr id="1564" name="HofrinWatermark_2" descr="Made by Hofrin">
          <a:extLst>
            <a:ext uri="{FF2B5EF4-FFF2-40B4-BE49-F238E27FC236}">
              <a16:creationId xmlns:a16="http://schemas.microsoft.com/office/drawing/2014/main" id="{89D73CE6-B9DF-7C2E-EBAA-7245A4C8EB54}"/>
            </a:ext>
          </a:extLst>
        </xdr:cNvPr>
        <xdr:cNvSpPr txBox="1"/>
      </xdr:nvSpPr>
      <xdr:spPr>
        <a:xfrm>
          <a:off x="50800" y="352907600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50800</xdr:colOff>
      <xdr:row>898</xdr:row>
      <xdr:rowOff>25400</xdr:rowOff>
    </xdr:from>
    <xdr:to>
      <xdr:col>16</xdr:col>
      <xdr:colOff>635000</xdr:colOff>
      <xdr:row>898</xdr:row>
      <xdr:rowOff>558800</xdr:rowOff>
    </xdr:to>
    <xdr:sp macro="" textlink="">
      <xdr:nvSpPr>
        <xdr:cNvPr id="1565" name="HofrinWatermark_5" descr="Made by Hofrin">
          <a:extLst>
            <a:ext uri="{FF2B5EF4-FFF2-40B4-BE49-F238E27FC236}">
              <a16:creationId xmlns:a16="http://schemas.microsoft.com/office/drawing/2014/main" id="{43FE02F2-4939-CF80-D77A-0A8E295D253B}"/>
            </a:ext>
          </a:extLst>
        </xdr:cNvPr>
        <xdr:cNvSpPr txBox="1"/>
      </xdr:nvSpPr>
      <xdr:spPr>
        <a:xfrm>
          <a:off x="50800" y="352907600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1</xdr:row>
      <xdr:rowOff>428625</xdr:rowOff>
    </xdr:from>
    <xdr:ext cx="1438275" cy="1438275"/>
    <xdr:pic>
      <xdr:nvPicPr>
        <xdr:cNvPr id="2" name="/xl/media/image184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</xdr:row>
      <xdr:rowOff>9525</xdr:rowOff>
    </xdr:from>
    <xdr:ext cx="571500" cy="571500"/>
    <xdr:pic>
      <xdr:nvPicPr>
        <xdr:cNvPr id="3" name="/xl/media/image185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</xdr:row>
      <xdr:rowOff>9525</xdr:rowOff>
    </xdr:from>
    <xdr:ext cx="571500" cy="571500"/>
    <xdr:pic>
      <xdr:nvPicPr>
        <xdr:cNvPr id="4" name="/xl/media/image186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</xdr:row>
      <xdr:rowOff>9525</xdr:rowOff>
    </xdr:from>
    <xdr:ext cx="571500" cy="571500"/>
    <xdr:pic>
      <xdr:nvPicPr>
        <xdr:cNvPr id="5" name="/xl/media/image187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</xdr:row>
      <xdr:rowOff>9525</xdr:rowOff>
    </xdr:from>
    <xdr:ext cx="571500" cy="571500"/>
    <xdr:pic>
      <xdr:nvPicPr>
        <xdr:cNvPr id="6" name="/xl/media/image188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</xdr:row>
      <xdr:rowOff>9525</xdr:rowOff>
    </xdr:from>
    <xdr:ext cx="571500" cy="571500"/>
    <xdr:pic>
      <xdr:nvPicPr>
        <xdr:cNvPr id="7" name="/xl/media/image189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</xdr:row>
      <xdr:rowOff>9525</xdr:rowOff>
    </xdr:from>
    <xdr:ext cx="571500" cy="571500"/>
    <xdr:pic>
      <xdr:nvPicPr>
        <xdr:cNvPr id="8" name="/xl/media/image190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428625</xdr:rowOff>
    </xdr:from>
    <xdr:ext cx="1438275" cy="1438275"/>
    <xdr:pic>
      <xdr:nvPicPr>
        <xdr:cNvPr id="9" name="/xl/media/image191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</xdr:row>
      <xdr:rowOff>9525</xdr:rowOff>
    </xdr:from>
    <xdr:ext cx="571500" cy="571500"/>
    <xdr:pic>
      <xdr:nvPicPr>
        <xdr:cNvPr id="10" name="/xl/media/image185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</xdr:row>
      <xdr:rowOff>9525</xdr:rowOff>
    </xdr:from>
    <xdr:ext cx="571500" cy="571500"/>
    <xdr:pic>
      <xdr:nvPicPr>
        <xdr:cNvPr id="11" name="/xl/media/image186.pn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</xdr:row>
      <xdr:rowOff>9525</xdr:rowOff>
    </xdr:from>
    <xdr:ext cx="571500" cy="571500"/>
    <xdr:pic>
      <xdr:nvPicPr>
        <xdr:cNvPr id="12" name="/xl/media/image187.pn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</xdr:row>
      <xdr:rowOff>9525</xdr:rowOff>
    </xdr:from>
    <xdr:ext cx="571500" cy="571500"/>
    <xdr:pic>
      <xdr:nvPicPr>
        <xdr:cNvPr id="13" name="/xl/media/image188.pn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</xdr:row>
      <xdr:rowOff>9525</xdr:rowOff>
    </xdr:from>
    <xdr:ext cx="571500" cy="571500"/>
    <xdr:pic>
      <xdr:nvPicPr>
        <xdr:cNvPr id="14" name="/xl/media/image189.pn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</xdr:row>
      <xdr:rowOff>9525</xdr:rowOff>
    </xdr:from>
    <xdr:ext cx="571500" cy="571500"/>
    <xdr:pic>
      <xdr:nvPicPr>
        <xdr:cNvPr id="15" name="/xl/media/image190.pn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</xdr:row>
      <xdr:rowOff>428625</xdr:rowOff>
    </xdr:from>
    <xdr:ext cx="1438275" cy="1438275"/>
    <xdr:pic>
      <xdr:nvPicPr>
        <xdr:cNvPr id="16" name="/xl/media/image192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</xdr:row>
      <xdr:rowOff>9525</xdr:rowOff>
    </xdr:from>
    <xdr:ext cx="571500" cy="571500"/>
    <xdr:pic>
      <xdr:nvPicPr>
        <xdr:cNvPr id="17" name="/xl/media/image185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</xdr:row>
      <xdr:rowOff>9525</xdr:rowOff>
    </xdr:from>
    <xdr:ext cx="571500" cy="571500"/>
    <xdr:pic>
      <xdr:nvPicPr>
        <xdr:cNvPr id="18" name="/xl/media/image186.png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</xdr:row>
      <xdr:rowOff>9525</xdr:rowOff>
    </xdr:from>
    <xdr:ext cx="571500" cy="571500"/>
    <xdr:pic>
      <xdr:nvPicPr>
        <xdr:cNvPr id="19" name="/xl/media/image187.png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</xdr:row>
      <xdr:rowOff>9525</xdr:rowOff>
    </xdr:from>
    <xdr:ext cx="571500" cy="571500"/>
    <xdr:pic>
      <xdr:nvPicPr>
        <xdr:cNvPr id="20" name="/xl/media/image188.png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</xdr:row>
      <xdr:rowOff>9525</xdr:rowOff>
    </xdr:from>
    <xdr:ext cx="571500" cy="571500"/>
    <xdr:pic>
      <xdr:nvPicPr>
        <xdr:cNvPr id="21" name="/xl/media/image189.png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</xdr:row>
      <xdr:rowOff>9525</xdr:rowOff>
    </xdr:from>
    <xdr:ext cx="571500" cy="571500"/>
    <xdr:pic>
      <xdr:nvPicPr>
        <xdr:cNvPr id="22" name="/xl/media/image190.png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</xdr:row>
      <xdr:rowOff>428625</xdr:rowOff>
    </xdr:from>
    <xdr:ext cx="1438275" cy="1438275"/>
    <xdr:pic>
      <xdr:nvPicPr>
        <xdr:cNvPr id="23" name="/xl/media/image193.png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</xdr:row>
      <xdr:rowOff>9525</xdr:rowOff>
    </xdr:from>
    <xdr:ext cx="571500" cy="571500"/>
    <xdr:pic>
      <xdr:nvPicPr>
        <xdr:cNvPr id="24" name="/xl/media/image185.png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</xdr:row>
      <xdr:rowOff>9525</xdr:rowOff>
    </xdr:from>
    <xdr:ext cx="571500" cy="571500"/>
    <xdr:pic>
      <xdr:nvPicPr>
        <xdr:cNvPr id="25" name="/xl/media/image186.p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</xdr:row>
      <xdr:rowOff>9525</xdr:rowOff>
    </xdr:from>
    <xdr:ext cx="571500" cy="571500"/>
    <xdr:pic>
      <xdr:nvPicPr>
        <xdr:cNvPr id="26" name="/xl/media/image187.png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</xdr:row>
      <xdr:rowOff>9525</xdr:rowOff>
    </xdr:from>
    <xdr:ext cx="571500" cy="571500"/>
    <xdr:pic>
      <xdr:nvPicPr>
        <xdr:cNvPr id="27" name="/xl/media/image188.png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</xdr:row>
      <xdr:rowOff>9525</xdr:rowOff>
    </xdr:from>
    <xdr:ext cx="571500" cy="571500"/>
    <xdr:pic>
      <xdr:nvPicPr>
        <xdr:cNvPr id="28" name="/xl/media/image189.png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</xdr:row>
      <xdr:rowOff>9525</xdr:rowOff>
    </xdr:from>
    <xdr:ext cx="571500" cy="571500"/>
    <xdr:pic>
      <xdr:nvPicPr>
        <xdr:cNvPr id="29" name="/xl/media/image190.png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</xdr:row>
      <xdr:rowOff>428625</xdr:rowOff>
    </xdr:from>
    <xdr:ext cx="1438275" cy="1438275"/>
    <xdr:pic>
      <xdr:nvPicPr>
        <xdr:cNvPr id="30" name="/xl/media/image194.png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</xdr:row>
      <xdr:rowOff>9525</xdr:rowOff>
    </xdr:from>
    <xdr:ext cx="571500" cy="571500"/>
    <xdr:pic>
      <xdr:nvPicPr>
        <xdr:cNvPr id="31" name="/xl/media/image185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</xdr:row>
      <xdr:rowOff>9525</xdr:rowOff>
    </xdr:from>
    <xdr:ext cx="571500" cy="571500"/>
    <xdr:pic>
      <xdr:nvPicPr>
        <xdr:cNvPr id="32" name="/xl/media/image186.png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</xdr:row>
      <xdr:rowOff>9525</xdr:rowOff>
    </xdr:from>
    <xdr:ext cx="571500" cy="571500"/>
    <xdr:pic>
      <xdr:nvPicPr>
        <xdr:cNvPr id="33" name="/xl/media/image187.png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</xdr:row>
      <xdr:rowOff>9525</xdr:rowOff>
    </xdr:from>
    <xdr:ext cx="571500" cy="571500"/>
    <xdr:pic>
      <xdr:nvPicPr>
        <xdr:cNvPr id="34" name="/xl/media/image188.png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</xdr:row>
      <xdr:rowOff>9525</xdr:rowOff>
    </xdr:from>
    <xdr:ext cx="571500" cy="571500"/>
    <xdr:pic>
      <xdr:nvPicPr>
        <xdr:cNvPr id="35" name="/xl/media/image189.png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</xdr:row>
      <xdr:rowOff>9525</xdr:rowOff>
    </xdr:from>
    <xdr:ext cx="571500" cy="571500"/>
    <xdr:pic>
      <xdr:nvPicPr>
        <xdr:cNvPr id="36" name="/xl/media/image190.png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</xdr:row>
      <xdr:rowOff>428625</xdr:rowOff>
    </xdr:from>
    <xdr:ext cx="1438275" cy="1438275"/>
    <xdr:pic>
      <xdr:nvPicPr>
        <xdr:cNvPr id="37" name="/xl/media/image195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</xdr:row>
      <xdr:rowOff>9525</xdr:rowOff>
    </xdr:from>
    <xdr:ext cx="571500" cy="571500"/>
    <xdr:pic>
      <xdr:nvPicPr>
        <xdr:cNvPr id="38" name="/xl/media/image185.png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</xdr:row>
      <xdr:rowOff>9525</xdr:rowOff>
    </xdr:from>
    <xdr:ext cx="571500" cy="571500"/>
    <xdr:pic>
      <xdr:nvPicPr>
        <xdr:cNvPr id="39" name="/xl/media/image186.png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</xdr:row>
      <xdr:rowOff>9525</xdr:rowOff>
    </xdr:from>
    <xdr:ext cx="571500" cy="571500"/>
    <xdr:pic>
      <xdr:nvPicPr>
        <xdr:cNvPr id="40" name="/xl/media/image187.png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</xdr:row>
      <xdr:rowOff>9525</xdr:rowOff>
    </xdr:from>
    <xdr:ext cx="571500" cy="571500"/>
    <xdr:pic>
      <xdr:nvPicPr>
        <xdr:cNvPr id="41" name="/xl/media/image188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</xdr:row>
      <xdr:rowOff>9525</xdr:rowOff>
    </xdr:from>
    <xdr:ext cx="571500" cy="571500"/>
    <xdr:pic>
      <xdr:nvPicPr>
        <xdr:cNvPr id="42" name="/xl/media/image189.png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</xdr:row>
      <xdr:rowOff>9525</xdr:rowOff>
    </xdr:from>
    <xdr:ext cx="571500" cy="571500"/>
    <xdr:pic>
      <xdr:nvPicPr>
        <xdr:cNvPr id="43" name="/xl/media/image190.png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</xdr:row>
      <xdr:rowOff>428625</xdr:rowOff>
    </xdr:from>
    <xdr:ext cx="1438275" cy="1438275"/>
    <xdr:pic>
      <xdr:nvPicPr>
        <xdr:cNvPr id="44" name="/xl/media/image196.png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</xdr:row>
      <xdr:rowOff>9525</xdr:rowOff>
    </xdr:from>
    <xdr:ext cx="571500" cy="571500"/>
    <xdr:pic>
      <xdr:nvPicPr>
        <xdr:cNvPr id="45" name="/xl/media/image185.png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</xdr:row>
      <xdr:rowOff>9525</xdr:rowOff>
    </xdr:from>
    <xdr:ext cx="571500" cy="571500"/>
    <xdr:pic>
      <xdr:nvPicPr>
        <xdr:cNvPr id="46" name="/xl/media/image186.png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</xdr:row>
      <xdr:rowOff>9525</xdr:rowOff>
    </xdr:from>
    <xdr:ext cx="571500" cy="571500"/>
    <xdr:pic>
      <xdr:nvPicPr>
        <xdr:cNvPr id="47" name="/xl/media/image187.png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</xdr:row>
      <xdr:rowOff>9525</xdr:rowOff>
    </xdr:from>
    <xdr:ext cx="571500" cy="571500"/>
    <xdr:pic>
      <xdr:nvPicPr>
        <xdr:cNvPr id="48" name="/xl/media/image188.png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</xdr:row>
      <xdr:rowOff>9525</xdr:rowOff>
    </xdr:from>
    <xdr:ext cx="571500" cy="571500"/>
    <xdr:pic>
      <xdr:nvPicPr>
        <xdr:cNvPr id="49" name="/xl/media/image189.png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</xdr:row>
      <xdr:rowOff>9525</xdr:rowOff>
    </xdr:from>
    <xdr:ext cx="571500" cy="571500"/>
    <xdr:pic>
      <xdr:nvPicPr>
        <xdr:cNvPr id="50" name="/xl/media/image190.png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</xdr:row>
      <xdr:rowOff>428625</xdr:rowOff>
    </xdr:from>
    <xdr:ext cx="1438275" cy="1438275"/>
    <xdr:pic>
      <xdr:nvPicPr>
        <xdr:cNvPr id="51" name="/xl/media/image197.png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</xdr:row>
      <xdr:rowOff>9525</xdr:rowOff>
    </xdr:from>
    <xdr:ext cx="571500" cy="571500"/>
    <xdr:pic>
      <xdr:nvPicPr>
        <xdr:cNvPr id="52" name="/xl/media/image185.png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</xdr:row>
      <xdr:rowOff>9525</xdr:rowOff>
    </xdr:from>
    <xdr:ext cx="571500" cy="571500"/>
    <xdr:pic>
      <xdr:nvPicPr>
        <xdr:cNvPr id="53" name="/xl/media/image186.png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</xdr:row>
      <xdr:rowOff>9525</xdr:rowOff>
    </xdr:from>
    <xdr:ext cx="571500" cy="571500"/>
    <xdr:pic>
      <xdr:nvPicPr>
        <xdr:cNvPr id="54" name="/xl/media/image187.png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</xdr:row>
      <xdr:rowOff>9525</xdr:rowOff>
    </xdr:from>
    <xdr:ext cx="571500" cy="571500"/>
    <xdr:pic>
      <xdr:nvPicPr>
        <xdr:cNvPr id="55" name="/xl/media/image188.png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</xdr:row>
      <xdr:rowOff>9525</xdr:rowOff>
    </xdr:from>
    <xdr:ext cx="571500" cy="571500"/>
    <xdr:pic>
      <xdr:nvPicPr>
        <xdr:cNvPr id="56" name="/xl/media/image189.png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</xdr:row>
      <xdr:rowOff>9525</xdr:rowOff>
    </xdr:from>
    <xdr:ext cx="571500" cy="571500"/>
    <xdr:pic>
      <xdr:nvPicPr>
        <xdr:cNvPr id="57" name="/xl/media/image190.png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</xdr:row>
      <xdr:rowOff>428625</xdr:rowOff>
    </xdr:from>
    <xdr:ext cx="1438275" cy="1438275"/>
    <xdr:pic>
      <xdr:nvPicPr>
        <xdr:cNvPr id="58" name="/xl/media/image198.png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</xdr:row>
      <xdr:rowOff>9525</xdr:rowOff>
    </xdr:from>
    <xdr:ext cx="571500" cy="571500"/>
    <xdr:pic>
      <xdr:nvPicPr>
        <xdr:cNvPr id="59" name="/xl/media/image185.png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</xdr:row>
      <xdr:rowOff>9525</xdr:rowOff>
    </xdr:from>
    <xdr:ext cx="571500" cy="571500"/>
    <xdr:pic>
      <xdr:nvPicPr>
        <xdr:cNvPr id="60" name="/xl/media/image186.png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</xdr:row>
      <xdr:rowOff>9525</xdr:rowOff>
    </xdr:from>
    <xdr:ext cx="571500" cy="571500"/>
    <xdr:pic>
      <xdr:nvPicPr>
        <xdr:cNvPr id="61" name="/xl/media/image187.pn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</xdr:row>
      <xdr:rowOff>9525</xdr:rowOff>
    </xdr:from>
    <xdr:ext cx="571500" cy="571500"/>
    <xdr:pic>
      <xdr:nvPicPr>
        <xdr:cNvPr id="62" name="/xl/media/image188.png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</xdr:row>
      <xdr:rowOff>9525</xdr:rowOff>
    </xdr:from>
    <xdr:ext cx="571500" cy="571500"/>
    <xdr:pic>
      <xdr:nvPicPr>
        <xdr:cNvPr id="63" name="/xl/media/image189.png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61</xdr:row>
      <xdr:rowOff>9525</xdr:rowOff>
    </xdr:from>
    <xdr:ext cx="571500" cy="571500"/>
    <xdr:pic>
      <xdr:nvPicPr>
        <xdr:cNvPr id="64" name="/xl/media/image190.png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</xdr:row>
      <xdr:rowOff>428625</xdr:rowOff>
    </xdr:from>
    <xdr:ext cx="1438275" cy="1438275"/>
    <xdr:pic>
      <xdr:nvPicPr>
        <xdr:cNvPr id="65" name="/xl/media/image199.png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</xdr:row>
      <xdr:rowOff>9525</xdr:rowOff>
    </xdr:from>
    <xdr:ext cx="571500" cy="571500"/>
    <xdr:pic>
      <xdr:nvPicPr>
        <xdr:cNvPr id="66" name="/xl/media/image185.png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</xdr:row>
      <xdr:rowOff>9525</xdr:rowOff>
    </xdr:from>
    <xdr:ext cx="571500" cy="571500"/>
    <xdr:pic>
      <xdr:nvPicPr>
        <xdr:cNvPr id="67" name="/xl/media/image186.png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</xdr:row>
      <xdr:rowOff>9525</xdr:rowOff>
    </xdr:from>
    <xdr:ext cx="571500" cy="571500"/>
    <xdr:pic>
      <xdr:nvPicPr>
        <xdr:cNvPr id="68" name="/xl/media/image187.png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</xdr:row>
      <xdr:rowOff>9525</xdr:rowOff>
    </xdr:from>
    <xdr:ext cx="571500" cy="571500"/>
    <xdr:pic>
      <xdr:nvPicPr>
        <xdr:cNvPr id="69" name="/xl/media/image188.png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</xdr:row>
      <xdr:rowOff>9525</xdr:rowOff>
    </xdr:from>
    <xdr:ext cx="571500" cy="571500"/>
    <xdr:pic>
      <xdr:nvPicPr>
        <xdr:cNvPr id="70" name="/xl/media/image189.png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68</xdr:row>
      <xdr:rowOff>9525</xdr:rowOff>
    </xdr:from>
    <xdr:ext cx="571500" cy="571500"/>
    <xdr:pic>
      <xdr:nvPicPr>
        <xdr:cNvPr id="71" name="/xl/media/image190.png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</xdr:row>
      <xdr:rowOff>428625</xdr:rowOff>
    </xdr:from>
    <xdr:ext cx="1438275" cy="1438275"/>
    <xdr:pic>
      <xdr:nvPicPr>
        <xdr:cNvPr id="72" name="/xl/media/image200.png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</xdr:row>
      <xdr:rowOff>9525</xdr:rowOff>
    </xdr:from>
    <xdr:ext cx="571500" cy="571500"/>
    <xdr:pic>
      <xdr:nvPicPr>
        <xdr:cNvPr id="73" name="/xl/media/image185.png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</xdr:row>
      <xdr:rowOff>9525</xdr:rowOff>
    </xdr:from>
    <xdr:ext cx="571500" cy="571500"/>
    <xdr:pic>
      <xdr:nvPicPr>
        <xdr:cNvPr id="74" name="/xl/media/image186.png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</xdr:row>
      <xdr:rowOff>9525</xdr:rowOff>
    </xdr:from>
    <xdr:ext cx="571500" cy="571500"/>
    <xdr:pic>
      <xdr:nvPicPr>
        <xdr:cNvPr id="75" name="/xl/media/image187.png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</xdr:row>
      <xdr:rowOff>9525</xdr:rowOff>
    </xdr:from>
    <xdr:ext cx="571500" cy="571500"/>
    <xdr:pic>
      <xdr:nvPicPr>
        <xdr:cNvPr id="76" name="/xl/media/image188.png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</xdr:row>
      <xdr:rowOff>9525</xdr:rowOff>
    </xdr:from>
    <xdr:ext cx="571500" cy="571500"/>
    <xdr:pic>
      <xdr:nvPicPr>
        <xdr:cNvPr id="77" name="/xl/media/image189.png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75</xdr:row>
      <xdr:rowOff>9525</xdr:rowOff>
    </xdr:from>
    <xdr:ext cx="571500" cy="571500"/>
    <xdr:pic>
      <xdr:nvPicPr>
        <xdr:cNvPr id="78" name="/xl/media/image190.png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</xdr:row>
      <xdr:rowOff>428625</xdr:rowOff>
    </xdr:from>
    <xdr:ext cx="1438275" cy="1438275"/>
    <xdr:pic>
      <xdr:nvPicPr>
        <xdr:cNvPr id="79" name="/xl/media/image201.png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</xdr:row>
      <xdr:rowOff>9525</xdr:rowOff>
    </xdr:from>
    <xdr:ext cx="571500" cy="571500"/>
    <xdr:pic>
      <xdr:nvPicPr>
        <xdr:cNvPr id="80" name="/xl/media/image185.png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</xdr:row>
      <xdr:rowOff>9525</xdr:rowOff>
    </xdr:from>
    <xdr:ext cx="571500" cy="571500"/>
    <xdr:pic>
      <xdr:nvPicPr>
        <xdr:cNvPr id="81" name="/xl/media/image186.png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</xdr:row>
      <xdr:rowOff>9525</xdr:rowOff>
    </xdr:from>
    <xdr:ext cx="571500" cy="571500"/>
    <xdr:pic>
      <xdr:nvPicPr>
        <xdr:cNvPr id="82" name="/xl/media/image187.png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</xdr:row>
      <xdr:rowOff>9525</xdr:rowOff>
    </xdr:from>
    <xdr:ext cx="571500" cy="571500"/>
    <xdr:pic>
      <xdr:nvPicPr>
        <xdr:cNvPr id="83" name="/xl/media/image188.png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</xdr:row>
      <xdr:rowOff>9525</xdr:rowOff>
    </xdr:from>
    <xdr:ext cx="571500" cy="571500"/>
    <xdr:pic>
      <xdr:nvPicPr>
        <xdr:cNvPr id="84" name="/xl/media/image189.png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82</xdr:row>
      <xdr:rowOff>9525</xdr:rowOff>
    </xdr:from>
    <xdr:ext cx="571500" cy="571500"/>
    <xdr:pic>
      <xdr:nvPicPr>
        <xdr:cNvPr id="85" name="/xl/media/image190.png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</xdr:row>
      <xdr:rowOff>428625</xdr:rowOff>
    </xdr:from>
    <xdr:ext cx="1438275" cy="1438275"/>
    <xdr:pic>
      <xdr:nvPicPr>
        <xdr:cNvPr id="86" name="/xl/media/image202.png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</xdr:row>
      <xdr:rowOff>9525</xdr:rowOff>
    </xdr:from>
    <xdr:ext cx="571500" cy="571500"/>
    <xdr:pic>
      <xdr:nvPicPr>
        <xdr:cNvPr id="87" name="/xl/media/image185.png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</xdr:row>
      <xdr:rowOff>9525</xdr:rowOff>
    </xdr:from>
    <xdr:ext cx="571500" cy="571500"/>
    <xdr:pic>
      <xdr:nvPicPr>
        <xdr:cNvPr id="88" name="/xl/media/image186.png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</xdr:row>
      <xdr:rowOff>9525</xdr:rowOff>
    </xdr:from>
    <xdr:ext cx="571500" cy="571500"/>
    <xdr:pic>
      <xdr:nvPicPr>
        <xdr:cNvPr id="89" name="/xl/media/image187.png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</xdr:row>
      <xdr:rowOff>9525</xdr:rowOff>
    </xdr:from>
    <xdr:ext cx="571500" cy="571500"/>
    <xdr:pic>
      <xdr:nvPicPr>
        <xdr:cNvPr id="90" name="/xl/media/image188.png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89</xdr:row>
      <xdr:rowOff>9525</xdr:rowOff>
    </xdr:from>
    <xdr:ext cx="571500" cy="571500"/>
    <xdr:pic>
      <xdr:nvPicPr>
        <xdr:cNvPr id="91" name="/xl/media/image190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92</xdr:row>
      <xdr:rowOff>428625</xdr:rowOff>
    </xdr:from>
    <xdr:ext cx="1438275" cy="1438275"/>
    <xdr:pic>
      <xdr:nvPicPr>
        <xdr:cNvPr id="92" name="/xl/media/image203.png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</xdr:row>
      <xdr:rowOff>9525</xdr:rowOff>
    </xdr:from>
    <xdr:ext cx="571500" cy="571500"/>
    <xdr:pic>
      <xdr:nvPicPr>
        <xdr:cNvPr id="93" name="/xl/media/image185.png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</xdr:row>
      <xdr:rowOff>9525</xdr:rowOff>
    </xdr:from>
    <xdr:ext cx="571500" cy="571500"/>
    <xdr:pic>
      <xdr:nvPicPr>
        <xdr:cNvPr id="94" name="/xl/media/image186.png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94</xdr:row>
      <xdr:rowOff>9525</xdr:rowOff>
    </xdr:from>
    <xdr:ext cx="571500" cy="571500"/>
    <xdr:pic>
      <xdr:nvPicPr>
        <xdr:cNvPr id="95" name="/xl/media/image187.png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96</xdr:row>
      <xdr:rowOff>9525</xdr:rowOff>
    </xdr:from>
    <xdr:ext cx="571500" cy="571500"/>
    <xdr:pic>
      <xdr:nvPicPr>
        <xdr:cNvPr id="96" name="/xl/media/image188.png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96</xdr:row>
      <xdr:rowOff>9525</xdr:rowOff>
    </xdr:from>
    <xdr:ext cx="571500" cy="571500"/>
    <xdr:pic>
      <xdr:nvPicPr>
        <xdr:cNvPr id="97" name="/xl/media/image190.png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99</xdr:row>
      <xdr:rowOff>428625</xdr:rowOff>
    </xdr:from>
    <xdr:ext cx="1438275" cy="1438275"/>
    <xdr:pic>
      <xdr:nvPicPr>
        <xdr:cNvPr id="98" name="/xl/media/image204.png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101</xdr:row>
      <xdr:rowOff>9525</xdr:rowOff>
    </xdr:from>
    <xdr:ext cx="571500" cy="571500"/>
    <xdr:pic>
      <xdr:nvPicPr>
        <xdr:cNvPr id="99" name="/xl/media/image185.png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101</xdr:row>
      <xdr:rowOff>9525</xdr:rowOff>
    </xdr:from>
    <xdr:ext cx="571500" cy="571500"/>
    <xdr:pic>
      <xdr:nvPicPr>
        <xdr:cNvPr id="100" name="/xl/media/image186.png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101</xdr:row>
      <xdr:rowOff>9525</xdr:rowOff>
    </xdr:from>
    <xdr:ext cx="571500" cy="571500"/>
    <xdr:pic>
      <xdr:nvPicPr>
        <xdr:cNvPr id="101" name="/xl/media/image187.png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103</xdr:row>
      <xdr:rowOff>9525</xdr:rowOff>
    </xdr:from>
    <xdr:ext cx="571500" cy="571500"/>
    <xdr:pic>
      <xdr:nvPicPr>
        <xdr:cNvPr id="102" name="/xl/media/image188.png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103</xdr:row>
      <xdr:rowOff>9525</xdr:rowOff>
    </xdr:from>
    <xdr:ext cx="571500" cy="571500"/>
    <xdr:pic>
      <xdr:nvPicPr>
        <xdr:cNvPr id="103" name="/xl/media/image190.png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106</xdr:row>
      <xdr:rowOff>428625</xdr:rowOff>
    </xdr:from>
    <xdr:ext cx="1438275" cy="1438275"/>
    <xdr:pic>
      <xdr:nvPicPr>
        <xdr:cNvPr id="104" name="/xl/media/image205.png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108</xdr:row>
      <xdr:rowOff>9525</xdr:rowOff>
    </xdr:from>
    <xdr:ext cx="571500" cy="571500"/>
    <xdr:pic>
      <xdr:nvPicPr>
        <xdr:cNvPr id="105" name="/xl/media/image185.png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108</xdr:row>
      <xdr:rowOff>9525</xdr:rowOff>
    </xdr:from>
    <xdr:ext cx="571500" cy="571500"/>
    <xdr:pic>
      <xdr:nvPicPr>
        <xdr:cNvPr id="106" name="/xl/media/image186.png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108</xdr:row>
      <xdr:rowOff>9525</xdr:rowOff>
    </xdr:from>
    <xdr:ext cx="571500" cy="571500"/>
    <xdr:pic>
      <xdr:nvPicPr>
        <xdr:cNvPr id="107" name="/xl/media/image187.png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110</xdr:row>
      <xdr:rowOff>9525</xdr:rowOff>
    </xdr:from>
    <xdr:ext cx="571500" cy="571500"/>
    <xdr:pic>
      <xdr:nvPicPr>
        <xdr:cNvPr id="108" name="/xl/media/image188.png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110</xdr:row>
      <xdr:rowOff>9525</xdr:rowOff>
    </xdr:from>
    <xdr:ext cx="571500" cy="571500"/>
    <xdr:pic>
      <xdr:nvPicPr>
        <xdr:cNvPr id="109" name="/xl/media/image190.png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113</xdr:row>
      <xdr:rowOff>428625</xdr:rowOff>
    </xdr:from>
    <xdr:ext cx="1438275" cy="1438275"/>
    <xdr:pic>
      <xdr:nvPicPr>
        <xdr:cNvPr id="110" name="/xl/media/image206.png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114</xdr:row>
      <xdr:rowOff>19050</xdr:rowOff>
    </xdr:from>
    <xdr:ext cx="647700" cy="647700"/>
    <xdr:pic>
      <xdr:nvPicPr>
        <xdr:cNvPr id="111" name="/xl/media/image207.png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115</xdr:row>
      <xdr:rowOff>9525</xdr:rowOff>
    </xdr:from>
    <xdr:ext cx="571500" cy="571500"/>
    <xdr:pic>
      <xdr:nvPicPr>
        <xdr:cNvPr id="112" name="/xl/media/image185.png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115</xdr:row>
      <xdr:rowOff>9525</xdr:rowOff>
    </xdr:from>
    <xdr:ext cx="571500" cy="571500"/>
    <xdr:pic>
      <xdr:nvPicPr>
        <xdr:cNvPr id="113" name="/xl/media/image186.png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115</xdr:row>
      <xdr:rowOff>9525</xdr:rowOff>
    </xdr:from>
    <xdr:ext cx="571500" cy="571500"/>
    <xdr:pic>
      <xdr:nvPicPr>
        <xdr:cNvPr id="114" name="/xl/media/image187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117</xdr:row>
      <xdr:rowOff>9525</xdr:rowOff>
    </xdr:from>
    <xdr:ext cx="571500" cy="571500"/>
    <xdr:pic>
      <xdr:nvPicPr>
        <xdr:cNvPr id="115" name="/xl/media/image188.png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117</xdr:row>
      <xdr:rowOff>9525</xdr:rowOff>
    </xdr:from>
    <xdr:ext cx="571500" cy="571500"/>
    <xdr:pic>
      <xdr:nvPicPr>
        <xdr:cNvPr id="116" name="/xl/media/image189.png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117</xdr:row>
      <xdr:rowOff>9525</xdr:rowOff>
    </xdr:from>
    <xdr:ext cx="571500" cy="571500"/>
    <xdr:pic>
      <xdr:nvPicPr>
        <xdr:cNvPr id="117" name="/xl/media/image190.png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120</xdr:row>
      <xdr:rowOff>428625</xdr:rowOff>
    </xdr:from>
    <xdr:ext cx="1438275" cy="1438275"/>
    <xdr:pic>
      <xdr:nvPicPr>
        <xdr:cNvPr id="118" name="/xl/media/image208.png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121</xdr:row>
      <xdr:rowOff>19050</xdr:rowOff>
    </xdr:from>
    <xdr:ext cx="647700" cy="647700"/>
    <xdr:pic>
      <xdr:nvPicPr>
        <xdr:cNvPr id="119" name="/xl/media/image209.png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122</xdr:row>
      <xdr:rowOff>9525</xdr:rowOff>
    </xdr:from>
    <xdr:ext cx="571500" cy="571500"/>
    <xdr:pic>
      <xdr:nvPicPr>
        <xdr:cNvPr id="120" name="/xl/media/image185.png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122</xdr:row>
      <xdr:rowOff>9525</xdr:rowOff>
    </xdr:from>
    <xdr:ext cx="571500" cy="571500"/>
    <xdr:pic>
      <xdr:nvPicPr>
        <xdr:cNvPr id="121" name="/xl/media/image186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122</xdr:row>
      <xdr:rowOff>9525</xdr:rowOff>
    </xdr:from>
    <xdr:ext cx="571500" cy="571500"/>
    <xdr:pic>
      <xdr:nvPicPr>
        <xdr:cNvPr id="122" name="/xl/media/image187.png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124</xdr:row>
      <xdr:rowOff>9525</xdr:rowOff>
    </xdr:from>
    <xdr:ext cx="571500" cy="571500"/>
    <xdr:pic>
      <xdr:nvPicPr>
        <xdr:cNvPr id="123" name="/xl/media/image188.png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124</xdr:row>
      <xdr:rowOff>9525</xdr:rowOff>
    </xdr:from>
    <xdr:ext cx="571500" cy="571500"/>
    <xdr:pic>
      <xdr:nvPicPr>
        <xdr:cNvPr id="124" name="/xl/media/image189.png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124</xdr:row>
      <xdr:rowOff>9525</xdr:rowOff>
    </xdr:from>
    <xdr:ext cx="571500" cy="571500"/>
    <xdr:pic>
      <xdr:nvPicPr>
        <xdr:cNvPr id="125" name="/xl/media/image190.png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127</xdr:row>
      <xdr:rowOff>428625</xdr:rowOff>
    </xdr:from>
    <xdr:ext cx="1438275" cy="1438275"/>
    <xdr:pic>
      <xdr:nvPicPr>
        <xdr:cNvPr id="126" name="/xl/media/image210.png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128</xdr:row>
      <xdr:rowOff>19050</xdr:rowOff>
    </xdr:from>
    <xdr:ext cx="647700" cy="647700"/>
    <xdr:pic>
      <xdr:nvPicPr>
        <xdr:cNvPr id="127" name="/xl/media/image211.png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129</xdr:row>
      <xdr:rowOff>9525</xdr:rowOff>
    </xdr:from>
    <xdr:ext cx="571500" cy="571500"/>
    <xdr:pic>
      <xdr:nvPicPr>
        <xdr:cNvPr id="128" name="/xl/media/image185.png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129</xdr:row>
      <xdr:rowOff>9525</xdr:rowOff>
    </xdr:from>
    <xdr:ext cx="571500" cy="571500"/>
    <xdr:pic>
      <xdr:nvPicPr>
        <xdr:cNvPr id="129" name="/xl/media/image186.png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129</xdr:row>
      <xdr:rowOff>9525</xdr:rowOff>
    </xdr:from>
    <xdr:ext cx="571500" cy="571500"/>
    <xdr:pic>
      <xdr:nvPicPr>
        <xdr:cNvPr id="130" name="/xl/media/image187.png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131</xdr:row>
      <xdr:rowOff>9525</xdr:rowOff>
    </xdr:from>
    <xdr:ext cx="571500" cy="571500"/>
    <xdr:pic>
      <xdr:nvPicPr>
        <xdr:cNvPr id="131" name="/xl/media/image188.png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131</xdr:row>
      <xdr:rowOff>9525</xdr:rowOff>
    </xdr:from>
    <xdr:ext cx="571500" cy="571500"/>
    <xdr:pic>
      <xdr:nvPicPr>
        <xdr:cNvPr id="132" name="/xl/media/image189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131</xdr:row>
      <xdr:rowOff>9525</xdr:rowOff>
    </xdr:from>
    <xdr:ext cx="571500" cy="571500"/>
    <xdr:pic>
      <xdr:nvPicPr>
        <xdr:cNvPr id="133" name="/xl/media/image190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134</xdr:row>
      <xdr:rowOff>428625</xdr:rowOff>
    </xdr:from>
    <xdr:ext cx="1438275" cy="1438275"/>
    <xdr:pic>
      <xdr:nvPicPr>
        <xdr:cNvPr id="134" name="/xl/media/image212.png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135</xdr:row>
      <xdr:rowOff>19050</xdr:rowOff>
    </xdr:from>
    <xdr:ext cx="647700" cy="647700"/>
    <xdr:pic>
      <xdr:nvPicPr>
        <xdr:cNvPr id="135" name="/xl/media/image213.png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136</xdr:row>
      <xdr:rowOff>9525</xdr:rowOff>
    </xdr:from>
    <xdr:ext cx="571500" cy="571500"/>
    <xdr:pic>
      <xdr:nvPicPr>
        <xdr:cNvPr id="136" name="/xl/media/image185.png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136</xdr:row>
      <xdr:rowOff>9525</xdr:rowOff>
    </xdr:from>
    <xdr:ext cx="571500" cy="571500"/>
    <xdr:pic>
      <xdr:nvPicPr>
        <xdr:cNvPr id="137" name="/xl/media/image186.png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136</xdr:row>
      <xdr:rowOff>9525</xdr:rowOff>
    </xdr:from>
    <xdr:ext cx="571500" cy="571500"/>
    <xdr:pic>
      <xdr:nvPicPr>
        <xdr:cNvPr id="138" name="/xl/media/image187.png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138</xdr:row>
      <xdr:rowOff>9525</xdr:rowOff>
    </xdr:from>
    <xdr:ext cx="571500" cy="571500"/>
    <xdr:pic>
      <xdr:nvPicPr>
        <xdr:cNvPr id="139" name="/xl/media/image188.png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138</xdr:row>
      <xdr:rowOff>9525</xdr:rowOff>
    </xdr:from>
    <xdr:ext cx="571500" cy="571500"/>
    <xdr:pic>
      <xdr:nvPicPr>
        <xdr:cNvPr id="140" name="/xl/media/image189.png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138</xdr:row>
      <xdr:rowOff>9525</xdr:rowOff>
    </xdr:from>
    <xdr:ext cx="571500" cy="571500"/>
    <xdr:pic>
      <xdr:nvPicPr>
        <xdr:cNvPr id="141" name="/xl/media/image190.png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141</xdr:row>
      <xdr:rowOff>428625</xdr:rowOff>
    </xdr:from>
    <xdr:ext cx="1438275" cy="1438275"/>
    <xdr:pic>
      <xdr:nvPicPr>
        <xdr:cNvPr id="142" name="/xl/media/image214.png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142</xdr:row>
      <xdr:rowOff>19050</xdr:rowOff>
    </xdr:from>
    <xdr:ext cx="647700" cy="647700"/>
    <xdr:pic>
      <xdr:nvPicPr>
        <xdr:cNvPr id="143" name="/xl/media/image215.png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143</xdr:row>
      <xdr:rowOff>9525</xdr:rowOff>
    </xdr:from>
    <xdr:ext cx="571500" cy="571500"/>
    <xdr:pic>
      <xdr:nvPicPr>
        <xdr:cNvPr id="144" name="/xl/media/image185.png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143</xdr:row>
      <xdr:rowOff>9525</xdr:rowOff>
    </xdr:from>
    <xdr:ext cx="571500" cy="571500"/>
    <xdr:pic>
      <xdr:nvPicPr>
        <xdr:cNvPr id="145" name="/xl/media/image186.png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143</xdr:row>
      <xdr:rowOff>9525</xdr:rowOff>
    </xdr:from>
    <xdr:ext cx="571500" cy="571500"/>
    <xdr:pic>
      <xdr:nvPicPr>
        <xdr:cNvPr id="146" name="/xl/media/image187.png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145</xdr:row>
      <xdr:rowOff>9525</xdr:rowOff>
    </xdr:from>
    <xdr:ext cx="571500" cy="571500"/>
    <xdr:pic>
      <xdr:nvPicPr>
        <xdr:cNvPr id="147" name="/xl/media/image188.png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145</xdr:row>
      <xdr:rowOff>9525</xdr:rowOff>
    </xdr:from>
    <xdr:ext cx="571500" cy="571500"/>
    <xdr:pic>
      <xdr:nvPicPr>
        <xdr:cNvPr id="148" name="/xl/media/image189.png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145</xdr:row>
      <xdr:rowOff>9525</xdr:rowOff>
    </xdr:from>
    <xdr:ext cx="571500" cy="571500"/>
    <xdr:pic>
      <xdr:nvPicPr>
        <xdr:cNvPr id="149" name="/xl/media/image190.png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148</xdr:row>
      <xdr:rowOff>428625</xdr:rowOff>
    </xdr:from>
    <xdr:ext cx="1438275" cy="1438275"/>
    <xdr:pic>
      <xdr:nvPicPr>
        <xdr:cNvPr id="150" name="/xl/media/image216.png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149</xdr:row>
      <xdr:rowOff>19050</xdr:rowOff>
    </xdr:from>
    <xdr:ext cx="647700" cy="647700"/>
    <xdr:pic>
      <xdr:nvPicPr>
        <xdr:cNvPr id="151" name="/xl/media/image217.png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150</xdr:row>
      <xdr:rowOff>9525</xdr:rowOff>
    </xdr:from>
    <xdr:ext cx="571500" cy="571500"/>
    <xdr:pic>
      <xdr:nvPicPr>
        <xdr:cNvPr id="152" name="/xl/media/image185.png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150</xdr:row>
      <xdr:rowOff>9525</xdr:rowOff>
    </xdr:from>
    <xdr:ext cx="571500" cy="571500"/>
    <xdr:pic>
      <xdr:nvPicPr>
        <xdr:cNvPr id="153" name="/xl/media/image186.png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150</xdr:row>
      <xdr:rowOff>9525</xdr:rowOff>
    </xdr:from>
    <xdr:ext cx="571500" cy="571500"/>
    <xdr:pic>
      <xdr:nvPicPr>
        <xdr:cNvPr id="154" name="/xl/media/image187.png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152</xdr:row>
      <xdr:rowOff>9525</xdr:rowOff>
    </xdr:from>
    <xdr:ext cx="571500" cy="571500"/>
    <xdr:pic>
      <xdr:nvPicPr>
        <xdr:cNvPr id="155" name="/xl/media/image188.png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152</xdr:row>
      <xdr:rowOff>9525</xdr:rowOff>
    </xdr:from>
    <xdr:ext cx="571500" cy="571500"/>
    <xdr:pic>
      <xdr:nvPicPr>
        <xdr:cNvPr id="156" name="/xl/media/image190.png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149</xdr:row>
      <xdr:rowOff>19050</xdr:rowOff>
    </xdr:from>
    <xdr:ext cx="647700" cy="647700"/>
    <xdr:pic>
      <xdr:nvPicPr>
        <xdr:cNvPr id="157" name="/xl/media/image218.png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150</xdr:row>
      <xdr:rowOff>9525</xdr:rowOff>
    </xdr:from>
    <xdr:ext cx="571500" cy="571500"/>
    <xdr:pic>
      <xdr:nvPicPr>
        <xdr:cNvPr id="158" name="/xl/media/image185.png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150</xdr:row>
      <xdr:rowOff>9525</xdr:rowOff>
    </xdr:from>
    <xdr:ext cx="571500" cy="571500"/>
    <xdr:pic>
      <xdr:nvPicPr>
        <xdr:cNvPr id="159" name="/xl/media/image186.png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150</xdr:row>
      <xdr:rowOff>9525</xdr:rowOff>
    </xdr:from>
    <xdr:ext cx="571500" cy="571500"/>
    <xdr:pic>
      <xdr:nvPicPr>
        <xdr:cNvPr id="160" name="/xl/media/image187.png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152</xdr:row>
      <xdr:rowOff>9525</xdr:rowOff>
    </xdr:from>
    <xdr:ext cx="571500" cy="571500"/>
    <xdr:pic>
      <xdr:nvPicPr>
        <xdr:cNvPr id="161" name="/xl/media/image188.png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152</xdr:row>
      <xdr:rowOff>9525</xdr:rowOff>
    </xdr:from>
    <xdr:ext cx="571500" cy="571500"/>
    <xdr:pic>
      <xdr:nvPicPr>
        <xdr:cNvPr id="162" name="/xl/media/image190.png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155</xdr:row>
      <xdr:rowOff>428625</xdr:rowOff>
    </xdr:from>
    <xdr:ext cx="1438275" cy="1438275"/>
    <xdr:pic>
      <xdr:nvPicPr>
        <xdr:cNvPr id="163" name="/xl/media/image219.pn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156</xdr:row>
      <xdr:rowOff>19050</xdr:rowOff>
    </xdr:from>
    <xdr:ext cx="647700" cy="647700"/>
    <xdr:pic>
      <xdr:nvPicPr>
        <xdr:cNvPr id="164" name="/xl/media/image220.png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157</xdr:row>
      <xdr:rowOff>9525</xdr:rowOff>
    </xdr:from>
    <xdr:ext cx="571500" cy="571500"/>
    <xdr:pic>
      <xdr:nvPicPr>
        <xdr:cNvPr id="165" name="/xl/media/image185.png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157</xdr:row>
      <xdr:rowOff>9525</xdr:rowOff>
    </xdr:from>
    <xdr:ext cx="571500" cy="571500"/>
    <xdr:pic>
      <xdr:nvPicPr>
        <xdr:cNvPr id="166" name="/xl/media/image186.png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157</xdr:row>
      <xdr:rowOff>9525</xdr:rowOff>
    </xdr:from>
    <xdr:ext cx="571500" cy="571500"/>
    <xdr:pic>
      <xdr:nvPicPr>
        <xdr:cNvPr id="167" name="/xl/media/image187.png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159</xdr:row>
      <xdr:rowOff>9525</xdr:rowOff>
    </xdr:from>
    <xdr:ext cx="571500" cy="571500"/>
    <xdr:pic>
      <xdr:nvPicPr>
        <xdr:cNvPr id="168" name="/xl/media/image188.png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159</xdr:row>
      <xdr:rowOff>9525</xdr:rowOff>
    </xdr:from>
    <xdr:ext cx="571500" cy="571500"/>
    <xdr:pic>
      <xdr:nvPicPr>
        <xdr:cNvPr id="169" name="/xl/media/image190.png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162</xdr:row>
      <xdr:rowOff>428625</xdr:rowOff>
    </xdr:from>
    <xdr:ext cx="1438275" cy="1438275"/>
    <xdr:pic>
      <xdr:nvPicPr>
        <xdr:cNvPr id="170" name="/xl/media/image207.png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163</xdr:row>
      <xdr:rowOff>19050</xdr:rowOff>
    </xdr:from>
    <xdr:ext cx="647700" cy="647700"/>
    <xdr:pic>
      <xdr:nvPicPr>
        <xdr:cNvPr id="171" name="/xl/media/image221.png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164</xdr:row>
      <xdr:rowOff>9525</xdr:rowOff>
    </xdr:from>
    <xdr:ext cx="571500" cy="571500"/>
    <xdr:pic>
      <xdr:nvPicPr>
        <xdr:cNvPr id="172" name="/xl/media/image185.png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164</xdr:row>
      <xdr:rowOff>9525</xdr:rowOff>
    </xdr:from>
    <xdr:ext cx="571500" cy="571500"/>
    <xdr:pic>
      <xdr:nvPicPr>
        <xdr:cNvPr id="173" name="/xl/media/image186.png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164</xdr:row>
      <xdr:rowOff>9525</xdr:rowOff>
    </xdr:from>
    <xdr:ext cx="571500" cy="571500"/>
    <xdr:pic>
      <xdr:nvPicPr>
        <xdr:cNvPr id="174" name="/xl/media/image187.png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166</xdr:row>
      <xdr:rowOff>9525</xdr:rowOff>
    </xdr:from>
    <xdr:ext cx="571500" cy="571500"/>
    <xdr:pic>
      <xdr:nvPicPr>
        <xdr:cNvPr id="175" name="/xl/media/image188.png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166</xdr:row>
      <xdr:rowOff>9525</xdr:rowOff>
    </xdr:from>
    <xdr:ext cx="571500" cy="571500"/>
    <xdr:pic>
      <xdr:nvPicPr>
        <xdr:cNvPr id="176" name="/xl/media/image189.png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166</xdr:row>
      <xdr:rowOff>9525</xdr:rowOff>
    </xdr:from>
    <xdr:ext cx="571500" cy="571500"/>
    <xdr:pic>
      <xdr:nvPicPr>
        <xdr:cNvPr id="177" name="/xl/media/image190.png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163</xdr:row>
      <xdr:rowOff>19050</xdr:rowOff>
    </xdr:from>
    <xdr:ext cx="647700" cy="647700"/>
    <xdr:pic>
      <xdr:nvPicPr>
        <xdr:cNvPr id="178" name="/xl/media/image221.png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164</xdr:row>
      <xdr:rowOff>9525</xdr:rowOff>
    </xdr:from>
    <xdr:ext cx="571500" cy="571500"/>
    <xdr:pic>
      <xdr:nvPicPr>
        <xdr:cNvPr id="179" name="/xl/media/image222.png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164</xdr:row>
      <xdr:rowOff>9525</xdr:rowOff>
    </xdr:from>
    <xdr:ext cx="571500" cy="571500"/>
    <xdr:pic>
      <xdr:nvPicPr>
        <xdr:cNvPr id="180" name="/xl/media/image223.png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164</xdr:row>
      <xdr:rowOff>9525</xdr:rowOff>
    </xdr:from>
    <xdr:ext cx="571500" cy="571500"/>
    <xdr:pic>
      <xdr:nvPicPr>
        <xdr:cNvPr id="181" name="/xl/media/image224.png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166</xdr:row>
      <xdr:rowOff>9525</xdr:rowOff>
    </xdr:from>
    <xdr:ext cx="571500" cy="571500"/>
    <xdr:pic>
      <xdr:nvPicPr>
        <xdr:cNvPr id="182" name="/xl/media/image225.png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166</xdr:row>
      <xdr:rowOff>9525</xdr:rowOff>
    </xdr:from>
    <xdr:ext cx="571500" cy="571500"/>
    <xdr:pic>
      <xdr:nvPicPr>
        <xdr:cNvPr id="183" name="/xl/media/image226.png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166</xdr:row>
      <xdr:rowOff>9525</xdr:rowOff>
    </xdr:from>
    <xdr:ext cx="571500" cy="571500"/>
    <xdr:pic>
      <xdr:nvPicPr>
        <xdr:cNvPr id="184" name="/xl/media/image190.png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169</xdr:row>
      <xdr:rowOff>428625</xdr:rowOff>
    </xdr:from>
    <xdr:ext cx="1438275" cy="1438275"/>
    <xdr:pic>
      <xdr:nvPicPr>
        <xdr:cNvPr id="185" name="/xl/media/image211.png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170</xdr:row>
      <xdr:rowOff>19050</xdr:rowOff>
    </xdr:from>
    <xdr:ext cx="647700" cy="647700"/>
    <xdr:pic>
      <xdr:nvPicPr>
        <xdr:cNvPr id="186" name="/xl/media/image227.png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171</xdr:row>
      <xdr:rowOff>9525</xdr:rowOff>
    </xdr:from>
    <xdr:ext cx="571500" cy="571500"/>
    <xdr:pic>
      <xdr:nvPicPr>
        <xdr:cNvPr id="187" name="/xl/media/image185.png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171</xdr:row>
      <xdr:rowOff>9525</xdr:rowOff>
    </xdr:from>
    <xdr:ext cx="571500" cy="571500"/>
    <xdr:pic>
      <xdr:nvPicPr>
        <xdr:cNvPr id="188" name="/xl/media/image186.png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171</xdr:row>
      <xdr:rowOff>9525</xdr:rowOff>
    </xdr:from>
    <xdr:ext cx="571500" cy="571500"/>
    <xdr:pic>
      <xdr:nvPicPr>
        <xdr:cNvPr id="189" name="/xl/media/image187.png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173</xdr:row>
      <xdr:rowOff>9525</xdr:rowOff>
    </xdr:from>
    <xdr:ext cx="571500" cy="571500"/>
    <xdr:pic>
      <xdr:nvPicPr>
        <xdr:cNvPr id="190" name="/xl/media/image188.png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173</xdr:row>
      <xdr:rowOff>9525</xdr:rowOff>
    </xdr:from>
    <xdr:ext cx="571500" cy="571500"/>
    <xdr:pic>
      <xdr:nvPicPr>
        <xdr:cNvPr id="191" name="/xl/media/image189.png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173</xdr:row>
      <xdr:rowOff>9525</xdr:rowOff>
    </xdr:from>
    <xdr:ext cx="571500" cy="571500"/>
    <xdr:pic>
      <xdr:nvPicPr>
        <xdr:cNvPr id="192" name="/xl/media/image190.png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170</xdr:row>
      <xdr:rowOff>19050</xdr:rowOff>
    </xdr:from>
    <xdr:ext cx="647700" cy="647700"/>
    <xdr:pic>
      <xdr:nvPicPr>
        <xdr:cNvPr id="193" name="/xl/media/image227.png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171</xdr:row>
      <xdr:rowOff>9525</xdr:rowOff>
    </xdr:from>
    <xdr:ext cx="571500" cy="571500"/>
    <xdr:pic>
      <xdr:nvPicPr>
        <xdr:cNvPr id="194" name="/xl/media/image222.png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171</xdr:row>
      <xdr:rowOff>9525</xdr:rowOff>
    </xdr:from>
    <xdr:ext cx="571500" cy="571500"/>
    <xdr:pic>
      <xdr:nvPicPr>
        <xdr:cNvPr id="195" name="/xl/media/image223.png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171</xdr:row>
      <xdr:rowOff>9525</xdr:rowOff>
    </xdr:from>
    <xdr:ext cx="571500" cy="571500"/>
    <xdr:pic>
      <xdr:nvPicPr>
        <xdr:cNvPr id="196" name="/xl/media/image224.png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173</xdr:row>
      <xdr:rowOff>9525</xdr:rowOff>
    </xdr:from>
    <xdr:ext cx="571500" cy="571500"/>
    <xdr:pic>
      <xdr:nvPicPr>
        <xdr:cNvPr id="197" name="/xl/media/image225.png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173</xdr:row>
      <xdr:rowOff>9525</xdr:rowOff>
    </xdr:from>
    <xdr:ext cx="571500" cy="571500"/>
    <xdr:pic>
      <xdr:nvPicPr>
        <xdr:cNvPr id="198" name="/xl/media/image226.png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173</xdr:row>
      <xdr:rowOff>9525</xdr:rowOff>
    </xdr:from>
    <xdr:ext cx="571500" cy="571500"/>
    <xdr:pic>
      <xdr:nvPicPr>
        <xdr:cNvPr id="199" name="/xl/media/image190.png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176</xdr:row>
      <xdr:rowOff>428625</xdr:rowOff>
    </xdr:from>
    <xdr:ext cx="1438275" cy="1438275"/>
    <xdr:pic>
      <xdr:nvPicPr>
        <xdr:cNvPr id="201" name="/xl/media/image209.png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177</xdr:row>
      <xdr:rowOff>19050</xdr:rowOff>
    </xdr:from>
    <xdr:ext cx="647700" cy="647700"/>
    <xdr:pic>
      <xdr:nvPicPr>
        <xdr:cNvPr id="202" name="/xl/media/image228.png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178</xdr:row>
      <xdr:rowOff>9525</xdr:rowOff>
    </xdr:from>
    <xdr:ext cx="571500" cy="571500"/>
    <xdr:pic>
      <xdr:nvPicPr>
        <xdr:cNvPr id="203" name="/xl/media/image185.png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178</xdr:row>
      <xdr:rowOff>9525</xdr:rowOff>
    </xdr:from>
    <xdr:ext cx="571500" cy="571500"/>
    <xdr:pic>
      <xdr:nvPicPr>
        <xdr:cNvPr id="204" name="/xl/media/image186.png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178</xdr:row>
      <xdr:rowOff>9525</xdr:rowOff>
    </xdr:from>
    <xdr:ext cx="571500" cy="571500"/>
    <xdr:pic>
      <xdr:nvPicPr>
        <xdr:cNvPr id="205" name="/xl/media/image187.png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180</xdr:row>
      <xdr:rowOff>9525</xdr:rowOff>
    </xdr:from>
    <xdr:ext cx="571500" cy="571500"/>
    <xdr:pic>
      <xdr:nvPicPr>
        <xdr:cNvPr id="206" name="/xl/media/image188.png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180</xdr:row>
      <xdr:rowOff>9525</xdr:rowOff>
    </xdr:from>
    <xdr:ext cx="571500" cy="571500"/>
    <xdr:pic>
      <xdr:nvPicPr>
        <xdr:cNvPr id="207" name="/xl/media/image189.png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180</xdr:row>
      <xdr:rowOff>9525</xdr:rowOff>
    </xdr:from>
    <xdr:ext cx="571500" cy="571500"/>
    <xdr:pic>
      <xdr:nvPicPr>
        <xdr:cNvPr id="208" name="/xl/media/image190.png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177</xdr:row>
      <xdr:rowOff>19050</xdr:rowOff>
    </xdr:from>
    <xdr:ext cx="647700" cy="647700"/>
    <xdr:pic>
      <xdr:nvPicPr>
        <xdr:cNvPr id="209" name="/xl/media/image228.png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178</xdr:row>
      <xdr:rowOff>9525</xdr:rowOff>
    </xdr:from>
    <xdr:ext cx="571500" cy="571500"/>
    <xdr:pic>
      <xdr:nvPicPr>
        <xdr:cNvPr id="210" name="/xl/media/image222.png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178</xdr:row>
      <xdr:rowOff>9525</xdr:rowOff>
    </xdr:from>
    <xdr:ext cx="571500" cy="571500"/>
    <xdr:pic>
      <xdr:nvPicPr>
        <xdr:cNvPr id="211" name="/xl/media/image223.png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178</xdr:row>
      <xdr:rowOff>9525</xdr:rowOff>
    </xdr:from>
    <xdr:ext cx="571500" cy="571500"/>
    <xdr:pic>
      <xdr:nvPicPr>
        <xdr:cNvPr id="212" name="/xl/media/image224.png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180</xdr:row>
      <xdr:rowOff>9525</xdr:rowOff>
    </xdr:from>
    <xdr:ext cx="571500" cy="571500"/>
    <xdr:pic>
      <xdr:nvPicPr>
        <xdr:cNvPr id="213" name="/xl/media/image225.png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180</xdr:row>
      <xdr:rowOff>9525</xdr:rowOff>
    </xdr:from>
    <xdr:ext cx="571500" cy="571500"/>
    <xdr:pic>
      <xdr:nvPicPr>
        <xdr:cNvPr id="214" name="/xl/media/image226.png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180</xdr:row>
      <xdr:rowOff>9525</xdr:rowOff>
    </xdr:from>
    <xdr:ext cx="571500" cy="571500"/>
    <xdr:pic>
      <xdr:nvPicPr>
        <xdr:cNvPr id="215" name="/xl/media/image190.png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183</xdr:row>
      <xdr:rowOff>428625</xdr:rowOff>
    </xdr:from>
    <xdr:ext cx="1438275" cy="1438275"/>
    <xdr:pic>
      <xdr:nvPicPr>
        <xdr:cNvPr id="217" name="/xl/media/image213.png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184</xdr:row>
      <xdr:rowOff>19050</xdr:rowOff>
    </xdr:from>
    <xdr:ext cx="647700" cy="647700"/>
    <xdr:pic>
      <xdr:nvPicPr>
        <xdr:cNvPr id="218" name="/xl/media/image229.png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185</xdr:row>
      <xdr:rowOff>9525</xdr:rowOff>
    </xdr:from>
    <xdr:ext cx="571500" cy="571500"/>
    <xdr:pic>
      <xdr:nvPicPr>
        <xdr:cNvPr id="219" name="/xl/media/image185.png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185</xdr:row>
      <xdr:rowOff>9525</xdr:rowOff>
    </xdr:from>
    <xdr:ext cx="571500" cy="571500"/>
    <xdr:pic>
      <xdr:nvPicPr>
        <xdr:cNvPr id="220" name="/xl/media/image186.png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185</xdr:row>
      <xdr:rowOff>9525</xdr:rowOff>
    </xdr:from>
    <xdr:ext cx="571500" cy="571500"/>
    <xdr:pic>
      <xdr:nvPicPr>
        <xdr:cNvPr id="221" name="/xl/media/image187.png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187</xdr:row>
      <xdr:rowOff>9525</xdr:rowOff>
    </xdr:from>
    <xdr:ext cx="571500" cy="571500"/>
    <xdr:pic>
      <xdr:nvPicPr>
        <xdr:cNvPr id="222" name="/xl/media/image188.png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187</xdr:row>
      <xdr:rowOff>9525</xdr:rowOff>
    </xdr:from>
    <xdr:ext cx="571500" cy="571500"/>
    <xdr:pic>
      <xdr:nvPicPr>
        <xdr:cNvPr id="223" name="/xl/media/image189.png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187</xdr:row>
      <xdr:rowOff>9525</xdr:rowOff>
    </xdr:from>
    <xdr:ext cx="571500" cy="571500"/>
    <xdr:pic>
      <xdr:nvPicPr>
        <xdr:cNvPr id="224" name="/xl/media/image190.png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184</xdr:row>
      <xdr:rowOff>19050</xdr:rowOff>
    </xdr:from>
    <xdr:ext cx="647700" cy="647700"/>
    <xdr:pic>
      <xdr:nvPicPr>
        <xdr:cNvPr id="225" name="/xl/media/image229.png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185</xdr:row>
      <xdr:rowOff>9525</xdr:rowOff>
    </xdr:from>
    <xdr:ext cx="571500" cy="571500"/>
    <xdr:pic>
      <xdr:nvPicPr>
        <xdr:cNvPr id="226" name="/xl/media/image222.png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185</xdr:row>
      <xdr:rowOff>9525</xdr:rowOff>
    </xdr:from>
    <xdr:ext cx="571500" cy="571500"/>
    <xdr:pic>
      <xdr:nvPicPr>
        <xdr:cNvPr id="227" name="/xl/media/image223.png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185</xdr:row>
      <xdr:rowOff>9525</xdr:rowOff>
    </xdr:from>
    <xdr:ext cx="571500" cy="571500"/>
    <xdr:pic>
      <xdr:nvPicPr>
        <xdr:cNvPr id="228" name="/xl/media/image224.png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187</xdr:row>
      <xdr:rowOff>9525</xdr:rowOff>
    </xdr:from>
    <xdr:ext cx="571500" cy="571500"/>
    <xdr:pic>
      <xdr:nvPicPr>
        <xdr:cNvPr id="229" name="/xl/media/image225.png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187</xdr:row>
      <xdr:rowOff>9525</xdr:rowOff>
    </xdr:from>
    <xdr:ext cx="571500" cy="571500"/>
    <xdr:pic>
      <xdr:nvPicPr>
        <xdr:cNvPr id="230" name="/xl/media/image226.png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187</xdr:row>
      <xdr:rowOff>9525</xdr:rowOff>
    </xdr:from>
    <xdr:ext cx="571500" cy="571500"/>
    <xdr:pic>
      <xdr:nvPicPr>
        <xdr:cNvPr id="231" name="/xl/media/image190.png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190</xdr:row>
      <xdr:rowOff>428625</xdr:rowOff>
    </xdr:from>
    <xdr:ext cx="1438275" cy="1438275"/>
    <xdr:pic>
      <xdr:nvPicPr>
        <xdr:cNvPr id="232" name="/xl/media/image215.png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191</xdr:row>
      <xdr:rowOff>19050</xdr:rowOff>
    </xdr:from>
    <xdr:ext cx="647700" cy="647700"/>
    <xdr:pic>
      <xdr:nvPicPr>
        <xdr:cNvPr id="233" name="/xl/media/image230.png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192</xdr:row>
      <xdr:rowOff>9525</xdr:rowOff>
    </xdr:from>
    <xdr:ext cx="571500" cy="571500"/>
    <xdr:pic>
      <xdr:nvPicPr>
        <xdr:cNvPr id="234" name="/xl/media/image185.png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192</xdr:row>
      <xdr:rowOff>9525</xdr:rowOff>
    </xdr:from>
    <xdr:ext cx="571500" cy="571500"/>
    <xdr:pic>
      <xdr:nvPicPr>
        <xdr:cNvPr id="235" name="/xl/media/image186.png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192</xdr:row>
      <xdr:rowOff>9525</xdr:rowOff>
    </xdr:from>
    <xdr:ext cx="571500" cy="571500"/>
    <xdr:pic>
      <xdr:nvPicPr>
        <xdr:cNvPr id="236" name="/xl/media/image187.png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194</xdr:row>
      <xdr:rowOff>9525</xdr:rowOff>
    </xdr:from>
    <xdr:ext cx="571500" cy="571500"/>
    <xdr:pic>
      <xdr:nvPicPr>
        <xdr:cNvPr id="237" name="/xl/media/image188.png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194</xdr:row>
      <xdr:rowOff>9525</xdr:rowOff>
    </xdr:from>
    <xdr:ext cx="571500" cy="571500"/>
    <xdr:pic>
      <xdr:nvPicPr>
        <xdr:cNvPr id="238" name="/xl/media/image189.png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194</xdr:row>
      <xdr:rowOff>9525</xdr:rowOff>
    </xdr:from>
    <xdr:ext cx="571500" cy="571500"/>
    <xdr:pic>
      <xdr:nvPicPr>
        <xdr:cNvPr id="239" name="/xl/media/image190.png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191</xdr:row>
      <xdr:rowOff>19050</xdr:rowOff>
    </xdr:from>
    <xdr:ext cx="647700" cy="647700"/>
    <xdr:pic>
      <xdr:nvPicPr>
        <xdr:cNvPr id="240" name="/xl/media/image230.png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192</xdr:row>
      <xdr:rowOff>9525</xdr:rowOff>
    </xdr:from>
    <xdr:ext cx="571500" cy="571500"/>
    <xdr:pic>
      <xdr:nvPicPr>
        <xdr:cNvPr id="241" name="/xl/media/image222.png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192</xdr:row>
      <xdr:rowOff>9525</xdr:rowOff>
    </xdr:from>
    <xdr:ext cx="571500" cy="571500"/>
    <xdr:pic>
      <xdr:nvPicPr>
        <xdr:cNvPr id="242" name="/xl/media/image223.png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192</xdr:row>
      <xdr:rowOff>9525</xdr:rowOff>
    </xdr:from>
    <xdr:ext cx="571500" cy="571500"/>
    <xdr:pic>
      <xdr:nvPicPr>
        <xdr:cNvPr id="243" name="/xl/media/image224.png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194</xdr:row>
      <xdr:rowOff>9525</xdr:rowOff>
    </xdr:from>
    <xdr:ext cx="571500" cy="571500"/>
    <xdr:pic>
      <xdr:nvPicPr>
        <xdr:cNvPr id="244" name="/xl/media/image225.png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194</xdr:row>
      <xdr:rowOff>9525</xdr:rowOff>
    </xdr:from>
    <xdr:ext cx="571500" cy="571500"/>
    <xdr:pic>
      <xdr:nvPicPr>
        <xdr:cNvPr id="245" name="/xl/media/image226.png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194</xdr:row>
      <xdr:rowOff>9525</xdr:rowOff>
    </xdr:from>
    <xdr:ext cx="571500" cy="571500"/>
    <xdr:pic>
      <xdr:nvPicPr>
        <xdr:cNvPr id="246" name="/xl/media/image190.png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197</xdr:row>
      <xdr:rowOff>428625</xdr:rowOff>
    </xdr:from>
    <xdr:ext cx="1438275" cy="1438275"/>
    <xdr:pic>
      <xdr:nvPicPr>
        <xdr:cNvPr id="247" name="/xl/media/image218.png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198</xdr:row>
      <xdr:rowOff>19050</xdr:rowOff>
    </xdr:from>
    <xdr:ext cx="647700" cy="647700"/>
    <xdr:pic>
      <xdr:nvPicPr>
        <xdr:cNvPr id="248" name="/xl/media/image231.png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199</xdr:row>
      <xdr:rowOff>9525</xdr:rowOff>
    </xdr:from>
    <xdr:ext cx="571500" cy="571500"/>
    <xdr:pic>
      <xdr:nvPicPr>
        <xdr:cNvPr id="249" name="/xl/media/image185.png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199</xdr:row>
      <xdr:rowOff>9525</xdr:rowOff>
    </xdr:from>
    <xdr:ext cx="571500" cy="571500"/>
    <xdr:pic>
      <xdr:nvPicPr>
        <xdr:cNvPr id="250" name="/xl/media/image186.png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199</xdr:row>
      <xdr:rowOff>9525</xdr:rowOff>
    </xdr:from>
    <xdr:ext cx="571500" cy="571500"/>
    <xdr:pic>
      <xdr:nvPicPr>
        <xdr:cNvPr id="251" name="/xl/media/image187.png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201</xdr:row>
      <xdr:rowOff>9525</xdr:rowOff>
    </xdr:from>
    <xdr:ext cx="571500" cy="571500"/>
    <xdr:pic>
      <xdr:nvPicPr>
        <xdr:cNvPr id="252" name="/xl/media/image188.png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201</xdr:row>
      <xdr:rowOff>9525</xdr:rowOff>
    </xdr:from>
    <xdr:ext cx="571500" cy="571500"/>
    <xdr:pic>
      <xdr:nvPicPr>
        <xdr:cNvPr id="253" name="/xl/media/image190.png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198</xdr:row>
      <xdr:rowOff>19050</xdr:rowOff>
    </xdr:from>
    <xdr:ext cx="647700" cy="647700"/>
    <xdr:pic>
      <xdr:nvPicPr>
        <xdr:cNvPr id="254" name="/xl/media/image231.png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199</xdr:row>
      <xdr:rowOff>9525</xdr:rowOff>
    </xdr:from>
    <xdr:ext cx="571500" cy="571500"/>
    <xdr:pic>
      <xdr:nvPicPr>
        <xdr:cNvPr id="255" name="/xl/media/image222.png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199</xdr:row>
      <xdr:rowOff>9525</xdr:rowOff>
    </xdr:from>
    <xdr:ext cx="571500" cy="571500"/>
    <xdr:pic>
      <xdr:nvPicPr>
        <xdr:cNvPr id="256" name="/xl/media/image223.png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199</xdr:row>
      <xdr:rowOff>9525</xdr:rowOff>
    </xdr:from>
    <xdr:ext cx="571500" cy="571500"/>
    <xdr:pic>
      <xdr:nvPicPr>
        <xdr:cNvPr id="257" name="/xl/media/image224.png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201</xdr:row>
      <xdr:rowOff>9525</xdr:rowOff>
    </xdr:from>
    <xdr:ext cx="571500" cy="571500"/>
    <xdr:pic>
      <xdr:nvPicPr>
        <xdr:cNvPr id="258" name="/xl/media/image225.png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201</xdr:row>
      <xdr:rowOff>9525</xdr:rowOff>
    </xdr:from>
    <xdr:ext cx="571500" cy="571500"/>
    <xdr:pic>
      <xdr:nvPicPr>
        <xdr:cNvPr id="259" name="/xl/media/image226.png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201</xdr:row>
      <xdr:rowOff>9525</xdr:rowOff>
    </xdr:from>
    <xdr:ext cx="571500" cy="571500"/>
    <xdr:pic>
      <xdr:nvPicPr>
        <xdr:cNvPr id="260" name="/xl/media/image190.png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204</xdr:row>
      <xdr:rowOff>428625</xdr:rowOff>
    </xdr:from>
    <xdr:ext cx="1438275" cy="1438275"/>
    <xdr:pic>
      <xdr:nvPicPr>
        <xdr:cNvPr id="262" name="/xl/media/image217.png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205</xdr:row>
      <xdr:rowOff>19050</xdr:rowOff>
    </xdr:from>
    <xdr:ext cx="647700" cy="647700"/>
    <xdr:pic>
      <xdr:nvPicPr>
        <xdr:cNvPr id="263" name="/xl/media/image231.png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206</xdr:row>
      <xdr:rowOff>9525</xdr:rowOff>
    </xdr:from>
    <xdr:ext cx="571500" cy="571500"/>
    <xdr:pic>
      <xdr:nvPicPr>
        <xdr:cNvPr id="264" name="/xl/media/image185.png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206</xdr:row>
      <xdr:rowOff>9525</xdr:rowOff>
    </xdr:from>
    <xdr:ext cx="571500" cy="571500"/>
    <xdr:pic>
      <xdr:nvPicPr>
        <xdr:cNvPr id="265" name="/xl/media/image186.png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206</xdr:row>
      <xdr:rowOff>9525</xdr:rowOff>
    </xdr:from>
    <xdr:ext cx="571500" cy="571500"/>
    <xdr:pic>
      <xdr:nvPicPr>
        <xdr:cNvPr id="266" name="/xl/media/image187.png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208</xdr:row>
      <xdr:rowOff>9525</xdr:rowOff>
    </xdr:from>
    <xdr:ext cx="571500" cy="571500"/>
    <xdr:pic>
      <xdr:nvPicPr>
        <xdr:cNvPr id="267" name="/xl/media/image188.png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208</xdr:row>
      <xdr:rowOff>9525</xdr:rowOff>
    </xdr:from>
    <xdr:ext cx="571500" cy="571500"/>
    <xdr:pic>
      <xdr:nvPicPr>
        <xdr:cNvPr id="268" name="/xl/media/image190.png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205</xdr:row>
      <xdr:rowOff>19050</xdr:rowOff>
    </xdr:from>
    <xdr:ext cx="647700" cy="647700"/>
    <xdr:pic>
      <xdr:nvPicPr>
        <xdr:cNvPr id="269" name="/xl/media/image231.png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206</xdr:row>
      <xdr:rowOff>9525</xdr:rowOff>
    </xdr:from>
    <xdr:ext cx="571500" cy="571500"/>
    <xdr:pic>
      <xdr:nvPicPr>
        <xdr:cNvPr id="270" name="/xl/media/image222.png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206</xdr:row>
      <xdr:rowOff>9525</xdr:rowOff>
    </xdr:from>
    <xdr:ext cx="571500" cy="571500"/>
    <xdr:pic>
      <xdr:nvPicPr>
        <xdr:cNvPr id="271" name="/xl/media/image223.png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206</xdr:row>
      <xdr:rowOff>9525</xdr:rowOff>
    </xdr:from>
    <xdr:ext cx="571500" cy="571500"/>
    <xdr:pic>
      <xdr:nvPicPr>
        <xdr:cNvPr id="272" name="/xl/media/image224.png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208</xdr:row>
      <xdr:rowOff>9525</xdr:rowOff>
    </xdr:from>
    <xdr:ext cx="571500" cy="571500"/>
    <xdr:pic>
      <xdr:nvPicPr>
        <xdr:cNvPr id="273" name="/xl/media/image225.png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208</xdr:row>
      <xdr:rowOff>9525</xdr:rowOff>
    </xdr:from>
    <xdr:ext cx="571500" cy="571500"/>
    <xdr:pic>
      <xdr:nvPicPr>
        <xdr:cNvPr id="274" name="/xl/media/image226.png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208</xdr:row>
      <xdr:rowOff>9525</xdr:rowOff>
    </xdr:from>
    <xdr:ext cx="571500" cy="571500"/>
    <xdr:pic>
      <xdr:nvPicPr>
        <xdr:cNvPr id="275" name="/xl/media/image190.png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211</xdr:row>
      <xdr:rowOff>428625</xdr:rowOff>
    </xdr:from>
    <xdr:ext cx="1438275" cy="1438275"/>
    <xdr:pic>
      <xdr:nvPicPr>
        <xdr:cNvPr id="277" name="/xl/media/image220.png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212</xdr:row>
      <xdr:rowOff>19050</xdr:rowOff>
    </xdr:from>
    <xdr:ext cx="647700" cy="647700"/>
    <xdr:pic>
      <xdr:nvPicPr>
        <xdr:cNvPr id="278" name="/xl/media/image232.png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213</xdr:row>
      <xdr:rowOff>9525</xdr:rowOff>
    </xdr:from>
    <xdr:ext cx="571500" cy="571500"/>
    <xdr:pic>
      <xdr:nvPicPr>
        <xdr:cNvPr id="279" name="/xl/media/image185.png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213</xdr:row>
      <xdr:rowOff>9525</xdr:rowOff>
    </xdr:from>
    <xdr:ext cx="571500" cy="571500"/>
    <xdr:pic>
      <xdr:nvPicPr>
        <xdr:cNvPr id="280" name="/xl/media/image186.png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213</xdr:row>
      <xdr:rowOff>9525</xdr:rowOff>
    </xdr:from>
    <xdr:ext cx="571500" cy="571500"/>
    <xdr:pic>
      <xdr:nvPicPr>
        <xdr:cNvPr id="281" name="/xl/media/image187.png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215</xdr:row>
      <xdr:rowOff>9525</xdr:rowOff>
    </xdr:from>
    <xdr:ext cx="571500" cy="571500"/>
    <xdr:pic>
      <xdr:nvPicPr>
        <xdr:cNvPr id="282" name="/xl/media/image188.png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215</xdr:row>
      <xdr:rowOff>9525</xdr:rowOff>
    </xdr:from>
    <xdr:ext cx="571500" cy="571500"/>
    <xdr:pic>
      <xdr:nvPicPr>
        <xdr:cNvPr id="283" name="/xl/media/image190.png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212</xdr:row>
      <xdr:rowOff>19050</xdr:rowOff>
    </xdr:from>
    <xdr:ext cx="647700" cy="647700"/>
    <xdr:pic>
      <xdr:nvPicPr>
        <xdr:cNvPr id="284" name="/xl/media/image232.png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213</xdr:row>
      <xdr:rowOff>9525</xdr:rowOff>
    </xdr:from>
    <xdr:ext cx="571500" cy="571500"/>
    <xdr:pic>
      <xdr:nvPicPr>
        <xdr:cNvPr id="285" name="/xl/media/image222.png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213</xdr:row>
      <xdr:rowOff>9525</xdr:rowOff>
    </xdr:from>
    <xdr:ext cx="571500" cy="571500"/>
    <xdr:pic>
      <xdr:nvPicPr>
        <xdr:cNvPr id="286" name="/xl/media/image223.png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213</xdr:row>
      <xdr:rowOff>9525</xdr:rowOff>
    </xdr:from>
    <xdr:ext cx="571500" cy="571500"/>
    <xdr:pic>
      <xdr:nvPicPr>
        <xdr:cNvPr id="287" name="/xl/media/image224.png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215</xdr:row>
      <xdr:rowOff>9525</xdr:rowOff>
    </xdr:from>
    <xdr:ext cx="571500" cy="571500"/>
    <xdr:pic>
      <xdr:nvPicPr>
        <xdr:cNvPr id="288" name="/xl/media/image226.png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215</xdr:row>
      <xdr:rowOff>9525</xdr:rowOff>
    </xdr:from>
    <xdr:ext cx="571500" cy="571500"/>
    <xdr:pic>
      <xdr:nvPicPr>
        <xdr:cNvPr id="289" name="/xl/media/image190.png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218</xdr:row>
      <xdr:rowOff>428625</xdr:rowOff>
    </xdr:from>
    <xdr:ext cx="1438275" cy="1438275"/>
    <xdr:pic>
      <xdr:nvPicPr>
        <xdr:cNvPr id="290" name="/xl/media/image232.png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219</xdr:row>
      <xdr:rowOff>19050</xdr:rowOff>
    </xdr:from>
    <xdr:ext cx="647700" cy="647700"/>
    <xdr:pic>
      <xdr:nvPicPr>
        <xdr:cNvPr id="291" name="/xl/media/image233.png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220</xdr:row>
      <xdr:rowOff>9525</xdr:rowOff>
    </xdr:from>
    <xdr:ext cx="571500" cy="571500"/>
    <xdr:pic>
      <xdr:nvPicPr>
        <xdr:cNvPr id="292" name="/xl/media/image234.png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220</xdr:row>
      <xdr:rowOff>9525</xdr:rowOff>
    </xdr:from>
    <xdr:ext cx="571500" cy="571500"/>
    <xdr:pic>
      <xdr:nvPicPr>
        <xdr:cNvPr id="293" name="/xl/media/image235.png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220</xdr:row>
      <xdr:rowOff>9525</xdr:rowOff>
    </xdr:from>
    <xdr:ext cx="571500" cy="571500"/>
    <xdr:pic>
      <xdr:nvPicPr>
        <xdr:cNvPr id="294" name="/xl/media/image236.png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222</xdr:row>
      <xdr:rowOff>9525</xdr:rowOff>
    </xdr:from>
    <xdr:ext cx="571500" cy="571500"/>
    <xdr:pic>
      <xdr:nvPicPr>
        <xdr:cNvPr id="295" name="/xl/media/image237.png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225</xdr:row>
      <xdr:rowOff>428625</xdr:rowOff>
    </xdr:from>
    <xdr:ext cx="1438275" cy="1438275"/>
    <xdr:pic>
      <xdr:nvPicPr>
        <xdr:cNvPr id="296" name="/xl/media/image230.png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226</xdr:row>
      <xdr:rowOff>19050</xdr:rowOff>
    </xdr:from>
    <xdr:ext cx="647700" cy="647700"/>
    <xdr:pic>
      <xdr:nvPicPr>
        <xdr:cNvPr id="297" name="/xl/media/image238.png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227</xdr:row>
      <xdr:rowOff>9525</xdr:rowOff>
    </xdr:from>
    <xdr:ext cx="571500" cy="571500"/>
    <xdr:pic>
      <xdr:nvPicPr>
        <xdr:cNvPr id="298" name="/xl/media/image234.png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227</xdr:row>
      <xdr:rowOff>9525</xdr:rowOff>
    </xdr:from>
    <xdr:ext cx="571500" cy="571500"/>
    <xdr:pic>
      <xdr:nvPicPr>
        <xdr:cNvPr id="299" name="/xl/media/image235.png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227</xdr:row>
      <xdr:rowOff>9525</xdr:rowOff>
    </xdr:from>
    <xdr:ext cx="571500" cy="571500"/>
    <xdr:pic>
      <xdr:nvPicPr>
        <xdr:cNvPr id="300" name="/xl/media/image236.png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229</xdr:row>
      <xdr:rowOff>9525</xdr:rowOff>
    </xdr:from>
    <xdr:ext cx="571500" cy="571500"/>
    <xdr:pic>
      <xdr:nvPicPr>
        <xdr:cNvPr id="301" name="/xl/media/image237.png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232</xdr:row>
      <xdr:rowOff>428625</xdr:rowOff>
    </xdr:from>
    <xdr:ext cx="1438275" cy="1438275"/>
    <xdr:pic>
      <xdr:nvPicPr>
        <xdr:cNvPr id="302" name="/xl/media/image228.png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233</xdr:row>
      <xdr:rowOff>19050</xdr:rowOff>
    </xdr:from>
    <xdr:ext cx="647700" cy="647700"/>
    <xdr:pic>
      <xdr:nvPicPr>
        <xdr:cNvPr id="303" name="/xl/media/image239.png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234</xdr:row>
      <xdr:rowOff>9525</xdr:rowOff>
    </xdr:from>
    <xdr:ext cx="571500" cy="571500"/>
    <xdr:pic>
      <xdr:nvPicPr>
        <xdr:cNvPr id="304" name="/xl/media/image234.png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234</xdr:row>
      <xdr:rowOff>9525</xdr:rowOff>
    </xdr:from>
    <xdr:ext cx="571500" cy="571500"/>
    <xdr:pic>
      <xdr:nvPicPr>
        <xdr:cNvPr id="305" name="/xl/media/image235.png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234</xdr:row>
      <xdr:rowOff>9525</xdr:rowOff>
    </xdr:from>
    <xdr:ext cx="571500" cy="571500"/>
    <xdr:pic>
      <xdr:nvPicPr>
        <xdr:cNvPr id="306" name="/xl/media/image236.png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236</xdr:row>
      <xdr:rowOff>9525</xdr:rowOff>
    </xdr:from>
    <xdr:ext cx="571500" cy="571500"/>
    <xdr:pic>
      <xdr:nvPicPr>
        <xdr:cNvPr id="307" name="/xl/media/image237.png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239</xdr:row>
      <xdr:rowOff>428625</xdr:rowOff>
    </xdr:from>
    <xdr:ext cx="1438275" cy="1438275"/>
    <xdr:pic>
      <xdr:nvPicPr>
        <xdr:cNvPr id="309" name="/xl/media/image227.png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240</xdr:row>
      <xdr:rowOff>19050</xdr:rowOff>
    </xdr:from>
    <xdr:ext cx="647700" cy="647700"/>
    <xdr:pic>
      <xdr:nvPicPr>
        <xdr:cNvPr id="310" name="/xl/media/image240.png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241</xdr:row>
      <xdr:rowOff>9525</xdr:rowOff>
    </xdr:from>
    <xdr:ext cx="571500" cy="571500"/>
    <xdr:pic>
      <xdr:nvPicPr>
        <xdr:cNvPr id="311" name="/xl/media/image234.png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241</xdr:row>
      <xdr:rowOff>9525</xdr:rowOff>
    </xdr:from>
    <xdr:ext cx="571500" cy="571500"/>
    <xdr:pic>
      <xdr:nvPicPr>
        <xdr:cNvPr id="312" name="/xl/media/image235.png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241</xdr:row>
      <xdr:rowOff>9525</xdr:rowOff>
    </xdr:from>
    <xdr:ext cx="571500" cy="571500"/>
    <xdr:pic>
      <xdr:nvPicPr>
        <xdr:cNvPr id="313" name="/xl/media/image236.png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243</xdr:row>
      <xdr:rowOff>9525</xdr:rowOff>
    </xdr:from>
    <xdr:ext cx="571500" cy="571500"/>
    <xdr:pic>
      <xdr:nvPicPr>
        <xdr:cNvPr id="314" name="/xl/media/image237.png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246</xdr:row>
      <xdr:rowOff>428625</xdr:rowOff>
    </xdr:from>
    <xdr:ext cx="1438275" cy="1438275"/>
    <xdr:pic>
      <xdr:nvPicPr>
        <xdr:cNvPr id="316" name="/xl/media/image231.png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247</xdr:row>
      <xdr:rowOff>19050</xdr:rowOff>
    </xdr:from>
    <xdr:ext cx="647700" cy="647700"/>
    <xdr:pic>
      <xdr:nvPicPr>
        <xdr:cNvPr id="317" name="/xl/media/image241.png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248</xdr:row>
      <xdr:rowOff>9525</xdr:rowOff>
    </xdr:from>
    <xdr:ext cx="571500" cy="571500"/>
    <xdr:pic>
      <xdr:nvPicPr>
        <xdr:cNvPr id="318" name="/xl/media/image234.png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248</xdr:row>
      <xdr:rowOff>9525</xdr:rowOff>
    </xdr:from>
    <xdr:ext cx="571500" cy="571500"/>
    <xdr:pic>
      <xdr:nvPicPr>
        <xdr:cNvPr id="319" name="/xl/media/image235.png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248</xdr:row>
      <xdr:rowOff>9525</xdr:rowOff>
    </xdr:from>
    <xdr:ext cx="571500" cy="571500"/>
    <xdr:pic>
      <xdr:nvPicPr>
        <xdr:cNvPr id="320" name="/xl/media/image236.png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250</xdr:row>
      <xdr:rowOff>9525</xdr:rowOff>
    </xdr:from>
    <xdr:ext cx="571500" cy="571500"/>
    <xdr:pic>
      <xdr:nvPicPr>
        <xdr:cNvPr id="321" name="/xl/media/image237.png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253</xdr:row>
      <xdr:rowOff>428625</xdr:rowOff>
    </xdr:from>
    <xdr:ext cx="1438275" cy="1438275"/>
    <xdr:pic>
      <xdr:nvPicPr>
        <xdr:cNvPr id="322" name="/xl/media/image229.png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254</xdr:row>
      <xdr:rowOff>19050</xdr:rowOff>
    </xdr:from>
    <xdr:ext cx="647700" cy="647700"/>
    <xdr:pic>
      <xdr:nvPicPr>
        <xdr:cNvPr id="323" name="/xl/media/image239.png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255</xdr:row>
      <xdr:rowOff>9525</xdr:rowOff>
    </xdr:from>
    <xdr:ext cx="571500" cy="571500"/>
    <xdr:pic>
      <xdr:nvPicPr>
        <xdr:cNvPr id="324" name="/xl/media/image234.png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255</xdr:row>
      <xdr:rowOff>9525</xdr:rowOff>
    </xdr:from>
    <xdr:ext cx="571500" cy="571500"/>
    <xdr:pic>
      <xdr:nvPicPr>
        <xdr:cNvPr id="325" name="/xl/media/image235.png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255</xdr:row>
      <xdr:rowOff>9525</xdr:rowOff>
    </xdr:from>
    <xdr:ext cx="571500" cy="571500"/>
    <xdr:pic>
      <xdr:nvPicPr>
        <xdr:cNvPr id="326" name="/xl/media/image236.png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257</xdr:row>
      <xdr:rowOff>9525</xdr:rowOff>
    </xdr:from>
    <xdr:ext cx="571500" cy="571500"/>
    <xdr:pic>
      <xdr:nvPicPr>
        <xdr:cNvPr id="327" name="/xl/media/image237.png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254</xdr:row>
      <xdr:rowOff>19050</xdr:rowOff>
    </xdr:from>
    <xdr:ext cx="647700" cy="647700"/>
    <xdr:pic>
      <xdr:nvPicPr>
        <xdr:cNvPr id="328" name="/xl/media/image240.png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255</xdr:row>
      <xdr:rowOff>9525</xdr:rowOff>
    </xdr:from>
    <xdr:ext cx="571500" cy="571500"/>
    <xdr:pic>
      <xdr:nvPicPr>
        <xdr:cNvPr id="329" name="/xl/media/image234.png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255</xdr:row>
      <xdr:rowOff>9525</xdr:rowOff>
    </xdr:from>
    <xdr:ext cx="571500" cy="571500"/>
    <xdr:pic>
      <xdr:nvPicPr>
        <xdr:cNvPr id="330" name="/xl/media/image235.png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255</xdr:row>
      <xdr:rowOff>9525</xdr:rowOff>
    </xdr:from>
    <xdr:ext cx="571500" cy="571500"/>
    <xdr:pic>
      <xdr:nvPicPr>
        <xdr:cNvPr id="331" name="/xl/media/image236.png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257</xdr:row>
      <xdr:rowOff>9525</xdr:rowOff>
    </xdr:from>
    <xdr:ext cx="571500" cy="571500"/>
    <xdr:pic>
      <xdr:nvPicPr>
        <xdr:cNvPr id="332" name="/xl/media/image237.png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260</xdr:row>
      <xdr:rowOff>428625</xdr:rowOff>
    </xdr:from>
    <xdr:ext cx="1438275" cy="1438275"/>
    <xdr:pic>
      <xdr:nvPicPr>
        <xdr:cNvPr id="333" name="/xl/media/image221.png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261</xdr:row>
      <xdr:rowOff>19050</xdr:rowOff>
    </xdr:from>
    <xdr:ext cx="647700" cy="647700"/>
    <xdr:pic>
      <xdr:nvPicPr>
        <xdr:cNvPr id="334" name="/xl/media/image242.png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262</xdr:row>
      <xdr:rowOff>9525</xdr:rowOff>
    </xdr:from>
    <xdr:ext cx="571500" cy="571500"/>
    <xdr:pic>
      <xdr:nvPicPr>
        <xdr:cNvPr id="335" name="/xl/media/image234.png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262</xdr:row>
      <xdr:rowOff>9525</xdr:rowOff>
    </xdr:from>
    <xdr:ext cx="571500" cy="571500"/>
    <xdr:pic>
      <xdr:nvPicPr>
        <xdr:cNvPr id="336" name="/xl/media/image235.png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262</xdr:row>
      <xdr:rowOff>9525</xdr:rowOff>
    </xdr:from>
    <xdr:ext cx="571500" cy="571500"/>
    <xdr:pic>
      <xdr:nvPicPr>
        <xdr:cNvPr id="337" name="/xl/media/image236.png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264</xdr:row>
      <xdr:rowOff>9525</xdr:rowOff>
    </xdr:from>
    <xdr:ext cx="571500" cy="571500"/>
    <xdr:pic>
      <xdr:nvPicPr>
        <xdr:cNvPr id="338" name="/xl/media/image237.png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267</xdr:row>
      <xdr:rowOff>428625</xdr:rowOff>
    </xdr:from>
    <xdr:ext cx="1438275" cy="1438275"/>
    <xdr:pic>
      <xdr:nvPicPr>
        <xdr:cNvPr id="339" name="/xl/media/image233.png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268</xdr:row>
      <xdr:rowOff>19050</xdr:rowOff>
    </xdr:from>
    <xdr:ext cx="647700" cy="647700"/>
    <xdr:pic>
      <xdr:nvPicPr>
        <xdr:cNvPr id="340" name="/xl/media/image243.png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269</xdr:row>
      <xdr:rowOff>9525</xdr:rowOff>
    </xdr:from>
    <xdr:ext cx="571500" cy="571500"/>
    <xdr:pic>
      <xdr:nvPicPr>
        <xdr:cNvPr id="341" name="/xl/media/image244.png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269</xdr:row>
      <xdr:rowOff>9525</xdr:rowOff>
    </xdr:from>
    <xdr:ext cx="571500" cy="571500"/>
    <xdr:pic>
      <xdr:nvPicPr>
        <xdr:cNvPr id="342" name="/xl/media/image245.png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269</xdr:row>
      <xdr:rowOff>9525</xdr:rowOff>
    </xdr:from>
    <xdr:ext cx="571500" cy="571500"/>
    <xdr:pic>
      <xdr:nvPicPr>
        <xdr:cNvPr id="343" name="/xl/media/image246.png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271</xdr:row>
      <xdr:rowOff>9525</xdr:rowOff>
    </xdr:from>
    <xdr:ext cx="571500" cy="571500"/>
    <xdr:pic>
      <xdr:nvPicPr>
        <xdr:cNvPr id="344" name="/xl/media/image247.png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269</xdr:row>
      <xdr:rowOff>9525</xdr:rowOff>
    </xdr:from>
    <xdr:ext cx="571500" cy="571500"/>
    <xdr:pic>
      <xdr:nvPicPr>
        <xdr:cNvPr id="345" name="/xl/media/image244.png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269</xdr:row>
      <xdr:rowOff>9525</xdr:rowOff>
    </xdr:from>
    <xdr:ext cx="571500" cy="571500"/>
    <xdr:pic>
      <xdr:nvPicPr>
        <xdr:cNvPr id="346" name="/xl/media/image245.png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269</xdr:row>
      <xdr:rowOff>9525</xdr:rowOff>
    </xdr:from>
    <xdr:ext cx="571500" cy="571500"/>
    <xdr:pic>
      <xdr:nvPicPr>
        <xdr:cNvPr id="347" name="/xl/media/image246.png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271</xdr:row>
      <xdr:rowOff>9525</xdr:rowOff>
    </xdr:from>
    <xdr:ext cx="571500" cy="571500"/>
    <xdr:pic>
      <xdr:nvPicPr>
        <xdr:cNvPr id="348" name="/xl/media/image247.png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274</xdr:row>
      <xdr:rowOff>428625</xdr:rowOff>
    </xdr:from>
    <xdr:ext cx="1438275" cy="1438275"/>
    <xdr:pic>
      <xdr:nvPicPr>
        <xdr:cNvPr id="349" name="/xl/media/image241.png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275</xdr:row>
      <xdr:rowOff>19050</xdr:rowOff>
    </xdr:from>
    <xdr:ext cx="647700" cy="647700"/>
    <xdr:pic>
      <xdr:nvPicPr>
        <xdr:cNvPr id="350" name="/xl/media/image248.png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276</xdr:row>
      <xdr:rowOff>9525</xdr:rowOff>
    </xdr:from>
    <xdr:ext cx="571500" cy="571500"/>
    <xdr:pic>
      <xdr:nvPicPr>
        <xdr:cNvPr id="351" name="/xl/media/image244.png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276</xdr:row>
      <xdr:rowOff>9525</xdr:rowOff>
    </xdr:from>
    <xdr:ext cx="571500" cy="571500"/>
    <xdr:pic>
      <xdr:nvPicPr>
        <xdr:cNvPr id="352" name="/xl/media/image245.png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276</xdr:row>
      <xdr:rowOff>9525</xdr:rowOff>
    </xdr:from>
    <xdr:ext cx="571500" cy="571500"/>
    <xdr:pic>
      <xdr:nvPicPr>
        <xdr:cNvPr id="353" name="/xl/media/image246.png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278</xdr:row>
      <xdr:rowOff>9525</xdr:rowOff>
    </xdr:from>
    <xdr:ext cx="571500" cy="571500"/>
    <xdr:pic>
      <xdr:nvPicPr>
        <xdr:cNvPr id="354" name="/xl/media/image247.png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276</xdr:row>
      <xdr:rowOff>9525</xdr:rowOff>
    </xdr:from>
    <xdr:ext cx="571500" cy="571500"/>
    <xdr:pic>
      <xdr:nvPicPr>
        <xdr:cNvPr id="355" name="/xl/media/image244.png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276</xdr:row>
      <xdr:rowOff>9525</xdr:rowOff>
    </xdr:from>
    <xdr:ext cx="571500" cy="571500"/>
    <xdr:pic>
      <xdr:nvPicPr>
        <xdr:cNvPr id="356" name="/xl/media/image245.png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276</xdr:row>
      <xdr:rowOff>9525</xdr:rowOff>
    </xdr:from>
    <xdr:ext cx="571500" cy="571500"/>
    <xdr:pic>
      <xdr:nvPicPr>
        <xdr:cNvPr id="357" name="/xl/media/image246.png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278</xdr:row>
      <xdr:rowOff>9525</xdr:rowOff>
    </xdr:from>
    <xdr:ext cx="571500" cy="571500"/>
    <xdr:pic>
      <xdr:nvPicPr>
        <xdr:cNvPr id="358" name="/xl/media/image247.png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0</xdr:colOff>
      <xdr:row>275</xdr:row>
      <xdr:rowOff>19050</xdr:rowOff>
    </xdr:from>
    <xdr:ext cx="647700" cy="647700"/>
    <xdr:pic>
      <xdr:nvPicPr>
        <xdr:cNvPr id="359" name="/xl/media/image249.png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276</xdr:row>
      <xdr:rowOff>9525</xdr:rowOff>
    </xdr:from>
    <xdr:ext cx="571500" cy="571500"/>
    <xdr:pic>
      <xdr:nvPicPr>
        <xdr:cNvPr id="360" name="/xl/media/image244.png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276</xdr:row>
      <xdr:rowOff>9525</xdr:rowOff>
    </xdr:from>
    <xdr:ext cx="571500" cy="571500"/>
    <xdr:pic>
      <xdr:nvPicPr>
        <xdr:cNvPr id="361" name="/xl/media/image245.png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276</xdr:row>
      <xdr:rowOff>9525</xdr:rowOff>
    </xdr:from>
    <xdr:ext cx="571500" cy="571500"/>
    <xdr:pic>
      <xdr:nvPicPr>
        <xdr:cNvPr id="362" name="/xl/media/image246.png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278</xdr:row>
      <xdr:rowOff>9525</xdr:rowOff>
    </xdr:from>
    <xdr:ext cx="571500" cy="571500"/>
    <xdr:pic>
      <xdr:nvPicPr>
        <xdr:cNvPr id="363" name="/xl/media/image247.png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281</xdr:row>
      <xdr:rowOff>428625</xdr:rowOff>
    </xdr:from>
    <xdr:ext cx="1438275" cy="1438275"/>
    <xdr:pic>
      <xdr:nvPicPr>
        <xdr:cNvPr id="364" name="/xl/media/image238.png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282</xdr:row>
      <xdr:rowOff>19050</xdr:rowOff>
    </xdr:from>
    <xdr:ext cx="647700" cy="647700"/>
    <xdr:pic>
      <xdr:nvPicPr>
        <xdr:cNvPr id="365" name="/xl/media/image250.png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283</xdr:row>
      <xdr:rowOff>9525</xdr:rowOff>
    </xdr:from>
    <xdr:ext cx="571500" cy="571500"/>
    <xdr:pic>
      <xdr:nvPicPr>
        <xdr:cNvPr id="366" name="/xl/media/image244.png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283</xdr:row>
      <xdr:rowOff>9525</xdr:rowOff>
    </xdr:from>
    <xdr:ext cx="571500" cy="571500"/>
    <xdr:pic>
      <xdr:nvPicPr>
        <xdr:cNvPr id="367" name="/xl/media/image245.png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283</xdr:row>
      <xdr:rowOff>9525</xdr:rowOff>
    </xdr:from>
    <xdr:ext cx="571500" cy="571500"/>
    <xdr:pic>
      <xdr:nvPicPr>
        <xdr:cNvPr id="368" name="/xl/media/image246.png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285</xdr:row>
      <xdr:rowOff>9525</xdr:rowOff>
    </xdr:from>
    <xdr:ext cx="571500" cy="571500"/>
    <xdr:pic>
      <xdr:nvPicPr>
        <xdr:cNvPr id="369" name="/xl/media/image247.png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283</xdr:row>
      <xdr:rowOff>9525</xdr:rowOff>
    </xdr:from>
    <xdr:ext cx="571500" cy="571500"/>
    <xdr:pic>
      <xdr:nvPicPr>
        <xdr:cNvPr id="370" name="/xl/media/image244.png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283</xdr:row>
      <xdr:rowOff>9525</xdr:rowOff>
    </xdr:from>
    <xdr:ext cx="571500" cy="571500"/>
    <xdr:pic>
      <xdr:nvPicPr>
        <xdr:cNvPr id="371" name="/xl/media/image245.png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283</xdr:row>
      <xdr:rowOff>9525</xdr:rowOff>
    </xdr:from>
    <xdr:ext cx="571500" cy="571500"/>
    <xdr:pic>
      <xdr:nvPicPr>
        <xdr:cNvPr id="372" name="/xl/media/image246.png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285</xdr:row>
      <xdr:rowOff>9525</xdr:rowOff>
    </xdr:from>
    <xdr:ext cx="571500" cy="571500"/>
    <xdr:pic>
      <xdr:nvPicPr>
        <xdr:cNvPr id="373" name="/xl/media/image247.png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288</xdr:row>
      <xdr:rowOff>428625</xdr:rowOff>
    </xdr:from>
    <xdr:ext cx="1438275" cy="1438275"/>
    <xdr:pic>
      <xdr:nvPicPr>
        <xdr:cNvPr id="374" name="/xl/media/image240.png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289</xdr:row>
      <xdr:rowOff>19050</xdr:rowOff>
    </xdr:from>
    <xdr:ext cx="647700" cy="647700"/>
    <xdr:pic>
      <xdr:nvPicPr>
        <xdr:cNvPr id="375" name="/xl/media/image251.png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290</xdr:row>
      <xdr:rowOff>9525</xdr:rowOff>
    </xdr:from>
    <xdr:ext cx="571500" cy="571500"/>
    <xdr:pic>
      <xdr:nvPicPr>
        <xdr:cNvPr id="376" name="/xl/media/image244.png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290</xdr:row>
      <xdr:rowOff>9525</xdr:rowOff>
    </xdr:from>
    <xdr:ext cx="571500" cy="571500"/>
    <xdr:pic>
      <xdr:nvPicPr>
        <xdr:cNvPr id="377" name="/xl/media/image245.png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290</xdr:row>
      <xdr:rowOff>9525</xdr:rowOff>
    </xdr:from>
    <xdr:ext cx="571500" cy="571500"/>
    <xdr:pic>
      <xdr:nvPicPr>
        <xdr:cNvPr id="378" name="/xl/media/image246.png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292</xdr:row>
      <xdr:rowOff>9525</xdr:rowOff>
    </xdr:from>
    <xdr:ext cx="571500" cy="571500"/>
    <xdr:pic>
      <xdr:nvPicPr>
        <xdr:cNvPr id="379" name="/xl/media/image247.png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290</xdr:row>
      <xdr:rowOff>9525</xdr:rowOff>
    </xdr:from>
    <xdr:ext cx="571500" cy="571500"/>
    <xdr:pic>
      <xdr:nvPicPr>
        <xdr:cNvPr id="380" name="/xl/media/image244.png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290</xdr:row>
      <xdr:rowOff>9525</xdr:rowOff>
    </xdr:from>
    <xdr:ext cx="571500" cy="571500"/>
    <xdr:pic>
      <xdr:nvPicPr>
        <xdr:cNvPr id="381" name="/xl/media/image245.png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290</xdr:row>
      <xdr:rowOff>9525</xdr:rowOff>
    </xdr:from>
    <xdr:ext cx="571500" cy="571500"/>
    <xdr:pic>
      <xdr:nvPicPr>
        <xdr:cNvPr id="382" name="/xl/media/image246.png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292</xdr:row>
      <xdr:rowOff>9525</xdr:rowOff>
    </xdr:from>
    <xdr:ext cx="571500" cy="571500"/>
    <xdr:pic>
      <xdr:nvPicPr>
        <xdr:cNvPr id="383" name="/xl/media/image247.png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295</xdr:row>
      <xdr:rowOff>428625</xdr:rowOff>
    </xdr:from>
    <xdr:ext cx="1438275" cy="1438275"/>
    <xdr:pic>
      <xdr:nvPicPr>
        <xdr:cNvPr id="384" name="/xl/media/image239.png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296</xdr:row>
      <xdr:rowOff>19050</xdr:rowOff>
    </xdr:from>
    <xdr:ext cx="647700" cy="647700"/>
    <xdr:pic>
      <xdr:nvPicPr>
        <xdr:cNvPr id="385" name="/xl/media/image252.png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297</xdr:row>
      <xdr:rowOff>9525</xdr:rowOff>
    </xdr:from>
    <xdr:ext cx="571500" cy="571500"/>
    <xdr:pic>
      <xdr:nvPicPr>
        <xdr:cNvPr id="386" name="/xl/media/image244.png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297</xdr:row>
      <xdr:rowOff>9525</xdr:rowOff>
    </xdr:from>
    <xdr:ext cx="571500" cy="571500"/>
    <xdr:pic>
      <xdr:nvPicPr>
        <xdr:cNvPr id="387" name="/xl/media/image245.png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297</xdr:row>
      <xdr:rowOff>9525</xdr:rowOff>
    </xdr:from>
    <xdr:ext cx="571500" cy="571500"/>
    <xdr:pic>
      <xdr:nvPicPr>
        <xdr:cNvPr id="388" name="/xl/media/image246.png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299</xdr:row>
      <xdr:rowOff>9525</xdr:rowOff>
    </xdr:from>
    <xdr:ext cx="571500" cy="571500"/>
    <xdr:pic>
      <xdr:nvPicPr>
        <xdr:cNvPr id="389" name="/xl/media/image247.png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297</xdr:row>
      <xdr:rowOff>9525</xdr:rowOff>
    </xdr:from>
    <xdr:ext cx="571500" cy="571500"/>
    <xdr:pic>
      <xdr:nvPicPr>
        <xdr:cNvPr id="390" name="/xl/media/image244.png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297</xdr:row>
      <xdr:rowOff>9525</xdr:rowOff>
    </xdr:from>
    <xdr:ext cx="571500" cy="571500"/>
    <xdr:pic>
      <xdr:nvPicPr>
        <xdr:cNvPr id="391" name="/xl/media/image245.png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297</xdr:row>
      <xdr:rowOff>9525</xdr:rowOff>
    </xdr:from>
    <xdr:ext cx="571500" cy="571500"/>
    <xdr:pic>
      <xdr:nvPicPr>
        <xdr:cNvPr id="392" name="/xl/media/image246.png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299</xdr:row>
      <xdr:rowOff>9525</xdr:rowOff>
    </xdr:from>
    <xdr:ext cx="571500" cy="571500"/>
    <xdr:pic>
      <xdr:nvPicPr>
        <xdr:cNvPr id="393" name="/xl/media/image247.png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302</xdr:row>
      <xdr:rowOff>428625</xdr:rowOff>
    </xdr:from>
    <xdr:ext cx="1438275" cy="1438275"/>
    <xdr:pic>
      <xdr:nvPicPr>
        <xdr:cNvPr id="394" name="/xl/media/image242.png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303</xdr:row>
      <xdr:rowOff>19050</xdr:rowOff>
    </xdr:from>
    <xdr:ext cx="647700" cy="647700"/>
    <xdr:pic>
      <xdr:nvPicPr>
        <xdr:cNvPr id="395" name="/xl/media/image253.png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304</xdr:row>
      <xdr:rowOff>9525</xdr:rowOff>
    </xdr:from>
    <xdr:ext cx="571500" cy="571500"/>
    <xdr:pic>
      <xdr:nvPicPr>
        <xdr:cNvPr id="396" name="/xl/media/image244.png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304</xdr:row>
      <xdr:rowOff>9525</xdr:rowOff>
    </xdr:from>
    <xdr:ext cx="571500" cy="571500"/>
    <xdr:pic>
      <xdr:nvPicPr>
        <xdr:cNvPr id="397" name="/xl/media/image245.png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304</xdr:row>
      <xdr:rowOff>9525</xdr:rowOff>
    </xdr:from>
    <xdr:ext cx="571500" cy="571500"/>
    <xdr:pic>
      <xdr:nvPicPr>
        <xdr:cNvPr id="398" name="/xl/media/image246.png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306</xdr:row>
      <xdr:rowOff>9525</xdr:rowOff>
    </xdr:from>
    <xdr:ext cx="571500" cy="571500"/>
    <xdr:pic>
      <xdr:nvPicPr>
        <xdr:cNvPr id="399" name="/xl/media/image247.png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304</xdr:row>
      <xdr:rowOff>9525</xdr:rowOff>
    </xdr:from>
    <xdr:ext cx="571500" cy="571500"/>
    <xdr:pic>
      <xdr:nvPicPr>
        <xdr:cNvPr id="400" name="/xl/media/image244.png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304</xdr:row>
      <xdr:rowOff>9525</xdr:rowOff>
    </xdr:from>
    <xdr:ext cx="571500" cy="571500"/>
    <xdr:pic>
      <xdr:nvPicPr>
        <xdr:cNvPr id="401" name="/xl/media/image245.png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304</xdr:row>
      <xdr:rowOff>9525</xdr:rowOff>
    </xdr:from>
    <xdr:ext cx="571500" cy="571500"/>
    <xdr:pic>
      <xdr:nvPicPr>
        <xdr:cNvPr id="402" name="/xl/media/image246.png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306</xdr:row>
      <xdr:rowOff>9525</xdr:rowOff>
    </xdr:from>
    <xdr:ext cx="571500" cy="571500"/>
    <xdr:pic>
      <xdr:nvPicPr>
        <xdr:cNvPr id="403" name="/xl/media/image247.png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0</xdr:colOff>
      <xdr:row>303</xdr:row>
      <xdr:rowOff>19050</xdr:rowOff>
    </xdr:from>
    <xdr:ext cx="647700" cy="647700"/>
    <xdr:pic>
      <xdr:nvPicPr>
        <xdr:cNvPr id="404" name="/xl/media/image254.png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304</xdr:row>
      <xdr:rowOff>9525</xdr:rowOff>
    </xdr:from>
    <xdr:ext cx="571500" cy="571500"/>
    <xdr:pic>
      <xdr:nvPicPr>
        <xdr:cNvPr id="405" name="/xl/media/image244.png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304</xdr:row>
      <xdr:rowOff>9525</xdr:rowOff>
    </xdr:from>
    <xdr:ext cx="571500" cy="571500"/>
    <xdr:pic>
      <xdr:nvPicPr>
        <xdr:cNvPr id="406" name="/xl/media/image245.png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304</xdr:row>
      <xdr:rowOff>9525</xdr:rowOff>
    </xdr:from>
    <xdr:ext cx="571500" cy="571500"/>
    <xdr:pic>
      <xdr:nvPicPr>
        <xdr:cNvPr id="407" name="/xl/media/image246.png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306</xdr:row>
      <xdr:rowOff>9525</xdr:rowOff>
    </xdr:from>
    <xdr:ext cx="571500" cy="571500"/>
    <xdr:pic>
      <xdr:nvPicPr>
        <xdr:cNvPr id="408" name="/xl/media/image247.png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309</xdr:row>
      <xdr:rowOff>428625</xdr:rowOff>
    </xdr:from>
    <xdr:ext cx="1438275" cy="1438275"/>
    <xdr:pic>
      <xdr:nvPicPr>
        <xdr:cNvPr id="409" name="/xl/media/image249.png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310</xdr:row>
      <xdr:rowOff>19050</xdr:rowOff>
    </xdr:from>
    <xdr:ext cx="647700" cy="647700"/>
    <xdr:pic>
      <xdr:nvPicPr>
        <xdr:cNvPr id="410" name="/xl/media/image255.png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311</xdr:row>
      <xdr:rowOff>9525</xdr:rowOff>
    </xdr:from>
    <xdr:ext cx="571500" cy="571500"/>
    <xdr:pic>
      <xdr:nvPicPr>
        <xdr:cNvPr id="411" name="/xl/media/image256.png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311</xdr:row>
      <xdr:rowOff>9525</xdr:rowOff>
    </xdr:from>
    <xdr:ext cx="571500" cy="571500"/>
    <xdr:pic>
      <xdr:nvPicPr>
        <xdr:cNvPr id="412" name="/xl/media/image256.png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316</xdr:row>
      <xdr:rowOff>428625</xdr:rowOff>
    </xdr:from>
    <xdr:ext cx="1438275" cy="1438275"/>
    <xdr:pic>
      <xdr:nvPicPr>
        <xdr:cNvPr id="414" name="/xl/media/image248.png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317</xdr:row>
      <xdr:rowOff>19050</xdr:rowOff>
    </xdr:from>
    <xdr:ext cx="647700" cy="647700"/>
    <xdr:pic>
      <xdr:nvPicPr>
        <xdr:cNvPr id="415" name="/xl/media/image255.png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318</xdr:row>
      <xdr:rowOff>9525</xdr:rowOff>
    </xdr:from>
    <xdr:ext cx="571500" cy="571500"/>
    <xdr:pic>
      <xdr:nvPicPr>
        <xdr:cNvPr id="416" name="/xl/media/image256.png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318</xdr:row>
      <xdr:rowOff>9525</xdr:rowOff>
    </xdr:from>
    <xdr:ext cx="571500" cy="571500"/>
    <xdr:pic>
      <xdr:nvPicPr>
        <xdr:cNvPr id="417" name="/xl/media/image256.png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323</xdr:row>
      <xdr:rowOff>428625</xdr:rowOff>
    </xdr:from>
    <xdr:ext cx="1438275" cy="1438275"/>
    <xdr:pic>
      <xdr:nvPicPr>
        <xdr:cNvPr id="418" name="/xl/media/image243.png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324</xdr:row>
      <xdr:rowOff>19050</xdr:rowOff>
    </xdr:from>
    <xdr:ext cx="647700" cy="647700"/>
    <xdr:pic>
      <xdr:nvPicPr>
        <xdr:cNvPr id="419" name="/xl/media/image257.png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325</xdr:row>
      <xdr:rowOff>9525</xdr:rowOff>
    </xdr:from>
    <xdr:ext cx="571500" cy="571500"/>
    <xdr:pic>
      <xdr:nvPicPr>
        <xdr:cNvPr id="420" name="/xl/media/image256.png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325</xdr:row>
      <xdr:rowOff>9525</xdr:rowOff>
    </xdr:from>
    <xdr:ext cx="571500" cy="571500"/>
    <xdr:pic>
      <xdr:nvPicPr>
        <xdr:cNvPr id="421" name="/xl/media/image258.png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325</xdr:row>
      <xdr:rowOff>9525</xdr:rowOff>
    </xdr:from>
    <xdr:ext cx="571500" cy="571500"/>
    <xdr:pic>
      <xdr:nvPicPr>
        <xdr:cNvPr id="422" name="/xl/media/image256.png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325</xdr:row>
      <xdr:rowOff>9525</xdr:rowOff>
    </xdr:from>
    <xdr:ext cx="571500" cy="571500"/>
    <xdr:pic>
      <xdr:nvPicPr>
        <xdr:cNvPr id="423" name="/xl/media/image258.png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330</xdr:row>
      <xdr:rowOff>428625</xdr:rowOff>
    </xdr:from>
    <xdr:ext cx="1438275" cy="1438275"/>
    <xdr:pic>
      <xdr:nvPicPr>
        <xdr:cNvPr id="424" name="/xl/media/image250.png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331</xdr:row>
      <xdr:rowOff>19050</xdr:rowOff>
    </xdr:from>
    <xdr:ext cx="647700" cy="647700"/>
    <xdr:pic>
      <xdr:nvPicPr>
        <xdr:cNvPr id="425" name="/xl/media/image255.png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332</xdr:row>
      <xdr:rowOff>9525</xdr:rowOff>
    </xdr:from>
    <xdr:ext cx="571500" cy="571500"/>
    <xdr:pic>
      <xdr:nvPicPr>
        <xdr:cNvPr id="426" name="/xl/media/image256.png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332</xdr:row>
      <xdr:rowOff>9525</xdr:rowOff>
    </xdr:from>
    <xdr:ext cx="571500" cy="571500"/>
    <xdr:pic>
      <xdr:nvPicPr>
        <xdr:cNvPr id="427" name="/xl/media/image258.png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332</xdr:row>
      <xdr:rowOff>9525</xdr:rowOff>
    </xdr:from>
    <xdr:ext cx="571500" cy="571500"/>
    <xdr:pic>
      <xdr:nvPicPr>
        <xdr:cNvPr id="428" name="/xl/media/image256.png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332</xdr:row>
      <xdr:rowOff>9525</xdr:rowOff>
    </xdr:from>
    <xdr:ext cx="571500" cy="571500"/>
    <xdr:pic>
      <xdr:nvPicPr>
        <xdr:cNvPr id="429" name="/xl/media/image258.png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337</xdr:row>
      <xdr:rowOff>428625</xdr:rowOff>
    </xdr:from>
    <xdr:ext cx="1438275" cy="1438275"/>
    <xdr:pic>
      <xdr:nvPicPr>
        <xdr:cNvPr id="430" name="/xl/media/image252.png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338</xdr:row>
      <xdr:rowOff>19050</xdr:rowOff>
    </xdr:from>
    <xdr:ext cx="647700" cy="647700"/>
    <xdr:pic>
      <xdr:nvPicPr>
        <xdr:cNvPr id="431" name="/xl/media/image259.png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339</xdr:row>
      <xdr:rowOff>9525</xdr:rowOff>
    </xdr:from>
    <xdr:ext cx="571500" cy="571500"/>
    <xdr:pic>
      <xdr:nvPicPr>
        <xdr:cNvPr id="432" name="/xl/media/image256.png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339</xdr:row>
      <xdr:rowOff>9525</xdr:rowOff>
    </xdr:from>
    <xdr:ext cx="571500" cy="571500"/>
    <xdr:pic>
      <xdr:nvPicPr>
        <xdr:cNvPr id="433" name="/xl/media/image258.png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339</xdr:row>
      <xdr:rowOff>9525</xdr:rowOff>
    </xdr:from>
    <xdr:ext cx="571500" cy="571500"/>
    <xdr:pic>
      <xdr:nvPicPr>
        <xdr:cNvPr id="434" name="/xl/media/image256.png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339</xdr:row>
      <xdr:rowOff>9525</xdr:rowOff>
    </xdr:from>
    <xdr:ext cx="571500" cy="571500"/>
    <xdr:pic>
      <xdr:nvPicPr>
        <xdr:cNvPr id="435" name="/xl/media/image258.png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344</xdr:row>
      <xdr:rowOff>428625</xdr:rowOff>
    </xdr:from>
    <xdr:ext cx="1438275" cy="1438275"/>
    <xdr:pic>
      <xdr:nvPicPr>
        <xdr:cNvPr id="436" name="/xl/media/image251.png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345</xdr:row>
      <xdr:rowOff>19050</xdr:rowOff>
    </xdr:from>
    <xdr:ext cx="647700" cy="647700"/>
    <xdr:pic>
      <xdr:nvPicPr>
        <xdr:cNvPr id="437" name="/xl/media/image260.png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346</xdr:row>
      <xdr:rowOff>9525</xdr:rowOff>
    </xdr:from>
    <xdr:ext cx="571500" cy="571500"/>
    <xdr:pic>
      <xdr:nvPicPr>
        <xdr:cNvPr id="438" name="/xl/media/image256.png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346</xdr:row>
      <xdr:rowOff>9525</xdr:rowOff>
    </xdr:from>
    <xdr:ext cx="571500" cy="571500"/>
    <xdr:pic>
      <xdr:nvPicPr>
        <xdr:cNvPr id="439" name="/xl/media/image258.png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346</xdr:row>
      <xdr:rowOff>9525</xdr:rowOff>
    </xdr:from>
    <xdr:ext cx="571500" cy="571500"/>
    <xdr:pic>
      <xdr:nvPicPr>
        <xdr:cNvPr id="440" name="/xl/media/image256.png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346</xdr:row>
      <xdr:rowOff>9525</xdr:rowOff>
    </xdr:from>
    <xdr:ext cx="571500" cy="571500"/>
    <xdr:pic>
      <xdr:nvPicPr>
        <xdr:cNvPr id="441" name="/xl/media/image258.png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351</xdr:row>
      <xdr:rowOff>428625</xdr:rowOff>
    </xdr:from>
    <xdr:ext cx="1438275" cy="1438275"/>
    <xdr:pic>
      <xdr:nvPicPr>
        <xdr:cNvPr id="442" name="/xl/media/image253.png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352</xdr:row>
      <xdr:rowOff>19050</xdr:rowOff>
    </xdr:from>
    <xdr:ext cx="647700" cy="647700"/>
    <xdr:pic>
      <xdr:nvPicPr>
        <xdr:cNvPr id="443" name="/xl/media/image261.png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353</xdr:row>
      <xdr:rowOff>9525</xdr:rowOff>
    </xdr:from>
    <xdr:ext cx="571500" cy="571500"/>
    <xdr:pic>
      <xdr:nvPicPr>
        <xdr:cNvPr id="444" name="/xl/media/image256.png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353</xdr:row>
      <xdr:rowOff>9525</xdr:rowOff>
    </xdr:from>
    <xdr:ext cx="571500" cy="571500"/>
    <xdr:pic>
      <xdr:nvPicPr>
        <xdr:cNvPr id="445" name="/xl/media/image258.png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353</xdr:row>
      <xdr:rowOff>9525</xdr:rowOff>
    </xdr:from>
    <xdr:ext cx="571500" cy="571500"/>
    <xdr:pic>
      <xdr:nvPicPr>
        <xdr:cNvPr id="446" name="/xl/media/image256.png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353</xdr:row>
      <xdr:rowOff>9525</xdr:rowOff>
    </xdr:from>
    <xdr:ext cx="571500" cy="571500"/>
    <xdr:pic>
      <xdr:nvPicPr>
        <xdr:cNvPr id="447" name="/xl/media/image258.png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358</xdr:row>
      <xdr:rowOff>428625</xdr:rowOff>
    </xdr:from>
    <xdr:ext cx="1438275" cy="1438275"/>
    <xdr:pic>
      <xdr:nvPicPr>
        <xdr:cNvPr id="448" name="/xl/media/image254.png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359</xdr:row>
      <xdr:rowOff>19050</xdr:rowOff>
    </xdr:from>
    <xdr:ext cx="647700" cy="647700"/>
    <xdr:pic>
      <xdr:nvPicPr>
        <xdr:cNvPr id="449" name="/xl/media/image261.png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360</xdr:row>
      <xdr:rowOff>9525</xdr:rowOff>
    </xdr:from>
    <xdr:ext cx="571500" cy="571500"/>
    <xdr:pic>
      <xdr:nvPicPr>
        <xdr:cNvPr id="450" name="/xl/media/image256.png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360</xdr:row>
      <xdr:rowOff>9525</xdr:rowOff>
    </xdr:from>
    <xdr:ext cx="571500" cy="571500"/>
    <xdr:pic>
      <xdr:nvPicPr>
        <xdr:cNvPr id="451" name="/xl/media/image258.png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360</xdr:row>
      <xdr:rowOff>9525</xdr:rowOff>
    </xdr:from>
    <xdr:ext cx="571500" cy="571500"/>
    <xdr:pic>
      <xdr:nvPicPr>
        <xdr:cNvPr id="452" name="/xl/media/image256.png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360</xdr:row>
      <xdr:rowOff>9525</xdr:rowOff>
    </xdr:from>
    <xdr:ext cx="571500" cy="571500"/>
    <xdr:pic>
      <xdr:nvPicPr>
        <xdr:cNvPr id="453" name="/xl/media/image258.png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365</xdr:row>
      <xdr:rowOff>428625</xdr:rowOff>
    </xdr:from>
    <xdr:ext cx="1438275" cy="1438275"/>
    <xdr:pic>
      <xdr:nvPicPr>
        <xdr:cNvPr id="454" name="/xl/media/image260.png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366</xdr:row>
      <xdr:rowOff>19050</xdr:rowOff>
    </xdr:from>
    <xdr:ext cx="647700" cy="647700"/>
    <xdr:pic>
      <xdr:nvPicPr>
        <xdr:cNvPr id="455" name="/xl/media/image262.png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367</xdr:row>
      <xdr:rowOff>9525</xdr:rowOff>
    </xdr:from>
    <xdr:ext cx="571500" cy="571500"/>
    <xdr:pic>
      <xdr:nvPicPr>
        <xdr:cNvPr id="456" name="/xl/media/image263.png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367</xdr:row>
      <xdr:rowOff>9525</xdr:rowOff>
    </xdr:from>
    <xdr:ext cx="571500" cy="571500"/>
    <xdr:pic>
      <xdr:nvPicPr>
        <xdr:cNvPr id="457" name="/xl/media/image264.png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372</xdr:row>
      <xdr:rowOff>428625</xdr:rowOff>
    </xdr:from>
    <xdr:ext cx="1438275" cy="1438275"/>
    <xdr:pic>
      <xdr:nvPicPr>
        <xdr:cNvPr id="458" name="/xl/media/image259.png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373</xdr:row>
      <xdr:rowOff>19050</xdr:rowOff>
    </xdr:from>
    <xdr:ext cx="647700" cy="647700"/>
    <xdr:pic>
      <xdr:nvPicPr>
        <xdr:cNvPr id="459" name="/xl/media/image262.png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374</xdr:row>
      <xdr:rowOff>9525</xdr:rowOff>
    </xdr:from>
    <xdr:ext cx="571500" cy="571500"/>
    <xdr:pic>
      <xdr:nvPicPr>
        <xdr:cNvPr id="460" name="/xl/media/image263.png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374</xdr:row>
      <xdr:rowOff>9525</xdr:rowOff>
    </xdr:from>
    <xdr:ext cx="571500" cy="571500"/>
    <xdr:pic>
      <xdr:nvPicPr>
        <xdr:cNvPr id="461" name="/xl/media/image264.png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379</xdr:row>
      <xdr:rowOff>428625</xdr:rowOff>
    </xdr:from>
    <xdr:ext cx="1438275" cy="1438275"/>
    <xdr:pic>
      <xdr:nvPicPr>
        <xdr:cNvPr id="462" name="/xl/media/image261.png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380</xdr:row>
      <xdr:rowOff>19050</xdr:rowOff>
    </xdr:from>
    <xdr:ext cx="647700" cy="647700"/>
    <xdr:pic>
      <xdr:nvPicPr>
        <xdr:cNvPr id="463" name="/xl/media/image265.png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381</xdr:row>
      <xdr:rowOff>9525</xdr:rowOff>
    </xdr:from>
    <xdr:ext cx="571500" cy="571500"/>
    <xdr:pic>
      <xdr:nvPicPr>
        <xdr:cNvPr id="464" name="/xl/media/image263.png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381</xdr:row>
      <xdr:rowOff>9525</xdr:rowOff>
    </xdr:from>
    <xdr:ext cx="571500" cy="571500"/>
    <xdr:pic>
      <xdr:nvPicPr>
        <xdr:cNvPr id="465" name="/xl/media/image264.png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380</xdr:row>
      <xdr:rowOff>19050</xdr:rowOff>
    </xdr:from>
    <xdr:ext cx="647700" cy="647700"/>
    <xdr:pic>
      <xdr:nvPicPr>
        <xdr:cNvPr id="466" name="/xl/media/image266.png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381</xdr:row>
      <xdr:rowOff>9525</xdr:rowOff>
    </xdr:from>
    <xdr:ext cx="571500" cy="571500"/>
    <xdr:pic>
      <xdr:nvPicPr>
        <xdr:cNvPr id="467" name="/xl/media/image263.png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381</xdr:row>
      <xdr:rowOff>9525</xdr:rowOff>
    </xdr:from>
    <xdr:ext cx="571500" cy="571500"/>
    <xdr:pic>
      <xdr:nvPicPr>
        <xdr:cNvPr id="468" name="/xl/media/image264.png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386</xdr:row>
      <xdr:rowOff>428625</xdr:rowOff>
    </xdr:from>
    <xdr:ext cx="1438275" cy="1438275"/>
    <xdr:pic>
      <xdr:nvPicPr>
        <xdr:cNvPr id="469" name="/xl/media/image257.png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387</xdr:row>
      <xdr:rowOff>19050</xdr:rowOff>
    </xdr:from>
    <xdr:ext cx="647700" cy="647700"/>
    <xdr:pic>
      <xdr:nvPicPr>
        <xdr:cNvPr id="470" name="/xl/media/image267.png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388</xdr:row>
      <xdr:rowOff>9525</xdr:rowOff>
    </xdr:from>
    <xdr:ext cx="571500" cy="571500"/>
    <xdr:pic>
      <xdr:nvPicPr>
        <xdr:cNvPr id="471" name="/xl/media/image263.png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388</xdr:row>
      <xdr:rowOff>9525</xdr:rowOff>
    </xdr:from>
    <xdr:ext cx="571500" cy="571500"/>
    <xdr:pic>
      <xdr:nvPicPr>
        <xdr:cNvPr id="472" name="/xl/media/image264.png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393</xdr:row>
      <xdr:rowOff>428625</xdr:rowOff>
    </xdr:from>
    <xdr:ext cx="1438275" cy="1438275"/>
    <xdr:pic>
      <xdr:nvPicPr>
        <xdr:cNvPr id="473" name="/xl/media/image255.png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394</xdr:row>
      <xdr:rowOff>19050</xdr:rowOff>
    </xdr:from>
    <xdr:ext cx="647700" cy="647700"/>
    <xdr:pic>
      <xdr:nvPicPr>
        <xdr:cNvPr id="474" name="/xl/media/image268.png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395</xdr:row>
      <xdr:rowOff>9525</xdr:rowOff>
    </xdr:from>
    <xdr:ext cx="571500" cy="571500"/>
    <xdr:pic>
      <xdr:nvPicPr>
        <xdr:cNvPr id="475" name="/xl/media/image263.png">
          <a:extLst>
            <a:ext uri="{FF2B5EF4-FFF2-40B4-BE49-F238E27FC236}">
              <a16:creationId xmlns:a16="http://schemas.microsoft.com/office/drawing/2014/main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5</xdr:col>
      <xdr:colOff>12700</xdr:colOff>
      <xdr:row>1</xdr:row>
      <xdr:rowOff>12700</xdr:rowOff>
    </xdr:from>
    <xdr:to>
      <xdr:col>7</xdr:col>
      <xdr:colOff>673100</xdr:colOff>
      <xdr:row>1</xdr:row>
      <xdr:rowOff>168275</xdr:rowOff>
    </xdr:to>
    <xdr:sp macro="[0]!SelectBarterOffer" textlink="">
      <xdr:nvSpPr>
        <xdr:cNvPr id="577" name="BarterBtn_3_2_1" descr="6|2|1">
          <a:extLst>
            <a:ext uri="{FF2B5EF4-FFF2-40B4-BE49-F238E27FC236}">
              <a16:creationId xmlns:a16="http://schemas.microsoft.com/office/drawing/2014/main" id="{5CDAB75A-F6C8-82A7-B506-BACCE877D0E6}"/>
            </a:ext>
          </a:extLst>
        </xdr:cNvPr>
        <xdr:cNvSpPr/>
      </xdr:nvSpPr>
      <xdr:spPr>
        <a:xfrm>
          <a:off x="59563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</xdr:row>
      <xdr:rowOff>12700</xdr:rowOff>
    </xdr:from>
    <xdr:to>
      <xdr:col>7</xdr:col>
      <xdr:colOff>673100</xdr:colOff>
      <xdr:row>8</xdr:row>
      <xdr:rowOff>168275</xdr:rowOff>
    </xdr:to>
    <xdr:sp macro="[0]!SelectBarterOffer" textlink="">
      <xdr:nvSpPr>
        <xdr:cNvPr id="578" name="BarterBtn_3_9_1" descr="6|9|1">
          <a:extLst>
            <a:ext uri="{FF2B5EF4-FFF2-40B4-BE49-F238E27FC236}">
              <a16:creationId xmlns:a16="http://schemas.microsoft.com/office/drawing/2014/main" id="{960BE41D-C0AF-71AC-A45C-7AA8CBA5469C}"/>
            </a:ext>
          </a:extLst>
        </xdr:cNvPr>
        <xdr:cNvSpPr/>
      </xdr:nvSpPr>
      <xdr:spPr>
        <a:xfrm>
          <a:off x="5956300" y="3117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15</xdr:row>
      <xdr:rowOff>12700</xdr:rowOff>
    </xdr:from>
    <xdr:to>
      <xdr:col>7</xdr:col>
      <xdr:colOff>673100</xdr:colOff>
      <xdr:row>15</xdr:row>
      <xdr:rowOff>168275</xdr:rowOff>
    </xdr:to>
    <xdr:sp macro="[0]!SelectBarterOffer" textlink="">
      <xdr:nvSpPr>
        <xdr:cNvPr id="579" name="BarterBtn_3_16_1" descr="6|16|1">
          <a:extLst>
            <a:ext uri="{FF2B5EF4-FFF2-40B4-BE49-F238E27FC236}">
              <a16:creationId xmlns:a16="http://schemas.microsoft.com/office/drawing/2014/main" id="{17B26570-2171-C334-60EA-6781F1FE03CE}"/>
            </a:ext>
          </a:extLst>
        </xdr:cNvPr>
        <xdr:cNvSpPr/>
      </xdr:nvSpPr>
      <xdr:spPr>
        <a:xfrm>
          <a:off x="5956300" y="5870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22</xdr:row>
      <xdr:rowOff>12700</xdr:rowOff>
    </xdr:from>
    <xdr:to>
      <xdr:col>7</xdr:col>
      <xdr:colOff>673100</xdr:colOff>
      <xdr:row>22</xdr:row>
      <xdr:rowOff>168275</xdr:rowOff>
    </xdr:to>
    <xdr:sp macro="[0]!SelectBarterOffer" textlink="">
      <xdr:nvSpPr>
        <xdr:cNvPr id="580" name="BarterBtn_3_23_1" descr="6|23|1">
          <a:extLst>
            <a:ext uri="{FF2B5EF4-FFF2-40B4-BE49-F238E27FC236}">
              <a16:creationId xmlns:a16="http://schemas.microsoft.com/office/drawing/2014/main" id="{209BB98A-9FA5-E48F-3905-AE5BB216DFC3}"/>
            </a:ext>
          </a:extLst>
        </xdr:cNvPr>
        <xdr:cNvSpPr/>
      </xdr:nvSpPr>
      <xdr:spPr>
        <a:xfrm>
          <a:off x="5956300" y="8623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29</xdr:row>
      <xdr:rowOff>12700</xdr:rowOff>
    </xdr:from>
    <xdr:to>
      <xdr:col>7</xdr:col>
      <xdr:colOff>673100</xdr:colOff>
      <xdr:row>29</xdr:row>
      <xdr:rowOff>168275</xdr:rowOff>
    </xdr:to>
    <xdr:sp macro="[0]!SelectBarterOffer" textlink="">
      <xdr:nvSpPr>
        <xdr:cNvPr id="581" name="BarterBtn_3_30_1" descr="6|30|1">
          <a:extLst>
            <a:ext uri="{FF2B5EF4-FFF2-40B4-BE49-F238E27FC236}">
              <a16:creationId xmlns:a16="http://schemas.microsoft.com/office/drawing/2014/main" id="{AF14D8FA-4A29-C28C-5D78-E8ED5084F269}"/>
            </a:ext>
          </a:extLst>
        </xdr:cNvPr>
        <xdr:cNvSpPr/>
      </xdr:nvSpPr>
      <xdr:spPr>
        <a:xfrm>
          <a:off x="5956300" y="11376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</xdr:row>
      <xdr:rowOff>12700</xdr:rowOff>
    </xdr:from>
    <xdr:to>
      <xdr:col>7</xdr:col>
      <xdr:colOff>673100</xdr:colOff>
      <xdr:row>36</xdr:row>
      <xdr:rowOff>168275</xdr:rowOff>
    </xdr:to>
    <xdr:sp macro="[0]!SelectBarterOffer" textlink="">
      <xdr:nvSpPr>
        <xdr:cNvPr id="582" name="BarterBtn_3_37_1" descr="6|37|1">
          <a:extLst>
            <a:ext uri="{FF2B5EF4-FFF2-40B4-BE49-F238E27FC236}">
              <a16:creationId xmlns:a16="http://schemas.microsoft.com/office/drawing/2014/main" id="{1A43D08F-2A5A-9B47-4044-DA6ADF4E5418}"/>
            </a:ext>
          </a:extLst>
        </xdr:cNvPr>
        <xdr:cNvSpPr/>
      </xdr:nvSpPr>
      <xdr:spPr>
        <a:xfrm>
          <a:off x="5956300" y="14128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</xdr:row>
      <xdr:rowOff>12700</xdr:rowOff>
    </xdr:from>
    <xdr:to>
      <xdr:col>7</xdr:col>
      <xdr:colOff>673100</xdr:colOff>
      <xdr:row>43</xdr:row>
      <xdr:rowOff>168275</xdr:rowOff>
    </xdr:to>
    <xdr:sp macro="[0]!SelectBarterOffer" textlink="">
      <xdr:nvSpPr>
        <xdr:cNvPr id="583" name="BarterBtn_3_44_1" descr="6|44|1">
          <a:extLst>
            <a:ext uri="{FF2B5EF4-FFF2-40B4-BE49-F238E27FC236}">
              <a16:creationId xmlns:a16="http://schemas.microsoft.com/office/drawing/2014/main" id="{96EB5973-60BD-59B0-2E11-644094DF05B9}"/>
            </a:ext>
          </a:extLst>
        </xdr:cNvPr>
        <xdr:cNvSpPr/>
      </xdr:nvSpPr>
      <xdr:spPr>
        <a:xfrm>
          <a:off x="5956300" y="16881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</xdr:row>
      <xdr:rowOff>12700</xdr:rowOff>
    </xdr:from>
    <xdr:to>
      <xdr:col>7</xdr:col>
      <xdr:colOff>673100</xdr:colOff>
      <xdr:row>50</xdr:row>
      <xdr:rowOff>168275</xdr:rowOff>
    </xdr:to>
    <xdr:sp macro="[0]!SelectBarterOffer" textlink="">
      <xdr:nvSpPr>
        <xdr:cNvPr id="584" name="BarterBtn_3_51_1" descr="6|51|1">
          <a:extLst>
            <a:ext uri="{FF2B5EF4-FFF2-40B4-BE49-F238E27FC236}">
              <a16:creationId xmlns:a16="http://schemas.microsoft.com/office/drawing/2014/main" id="{FBD8F637-F4A3-9D4C-CCF8-03ED4C93E6A6}"/>
            </a:ext>
          </a:extLst>
        </xdr:cNvPr>
        <xdr:cNvSpPr/>
      </xdr:nvSpPr>
      <xdr:spPr>
        <a:xfrm>
          <a:off x="59563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57</xdr:row>
      <xdr:rowOff>12700</xdr:rowOff>
    </xdr:from>
    <xdr:to>
      <xdr:col>7</xdr:col>
      <xdr:colOff>673100</xdr:colOff>
      <xdr:row>57</xdr:row>
      <xdr:rowOff>168275</xdr:rowOff>
    </xdr:to>
    <xdr:sp macro="[0]!SelectBarterOffer" textlink="">
      <xdr:nvSpPr>
        <xdr:cNvPr id="585" name="BarterBtn_3_58_1" descr="6|58|1">
          <a:extLst>
            <a:ext uri="{FF2B5EF4-FFF2-40B4-BE49-F238E27FC236}">
              <a16:creationId xmlns:a16="http://schemas.microsoft.com/office/drawing/2014/main" id="{97770635-A9D0-6886-69B0-5E43DB4DFBD5}"/>
            </a:ext>
          </a:extLst>
        </xdr:cNvPr>
        <xdr:cNvSpPr/>
      </xdr:nvSpPr>
      <xdr:spPr>
        <a:xfrm>
          <a:off x="59563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64</xdr:row>
      <xdr:rowOff>12700</xdr:rowOff>
    </xdr:from>
    <xdr:to>
      <xdr:col>7</xdr:col>
      <xdr:colOff>673100</xdr:colOff>
      <xdr:row>64</xdr:row>
      <xdr:rowOff>168275</xdr:rowOff>
    </xdr:to>
    <xdr:sp macro="[0]!SelectBarterOffer" textlink="">
      <xdr:nvSpPr>
        <xdr:cNvPr id="586" name="BarterBtn_3_65_1" descr="6|65|1">
          <a:extLst>
            <a:ext uri="{FF2B5EF4-FFF2-40B4-BE49-F238E27FC236}">
              <a16:creationId xmlns:a16="http://schemas.microsoft.com/office/drawing/2014/main" id="{811FD545-A35D-12F1-8505-068A1CF4CDC0}"/>
            </a:ext>
          </a:extLst>
        </xdr:cNvPr>
        <xdr:cNvSpPr/>
      </xdr:nvSpPr>
      <xdr:spPr>
        <a:xfrm>
          <a:off x="59563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71</xdr:row>
      <xdr:rowOff>12700</xdr:rowOff>
    </xdr:from>
    <xdr:to>
      <xdr:col>7</xdr:col>
      <xdr:colOff>673100</xdr:colOff>
      <xdr:row>71</xdr:row>
      <xdr:rowOff>168275</xdr:rowOff>
    </xdr:to>
    <xdr:sp macro="[0]!SelectBarterOffer" textlink="">
      <xdr:nvSpPr>
        <xdr:cNvPr id="587" name="BarterBtn_3_72_1" descr="6|72|1">
          <a:extLst>
            <a:ext uri="{FF2B5EF4-FFF2-40B4-BE49-F238E27FC236}">
              <a16:creationId xmlns:a16="http://schemas.microsoft.com/office/drawing/2014/main" id="{76E435C1-A72D-7243-AA6D-7299BE1E50C6}"/>
            </a:ext>
          </a:extLst>
        </xdr:cNvPr>
        <xdr:cNvSpPr/>
      </xdr:nvSpPr>
      <xdr:spPr>
        <a:xfrm>
          <a:off x="59563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78</xdr:row>
      <xdr:rowOff>12700</xdr:rowOff>
    </xdr:from>
    <xdr:to>
      <xdr:col>7</xdr:col>
      <xdr:colOff>673100</xdr:colOff>
      <xdr:row>78</xdr:row>
      <xdr:rowOff>168275</xdr:rowOff>
    </xdr:to>
    <xdr:sp macro="[0]!SelectBarterOffer" textlink="">
      <xdr:nvSpPr>
        <xdr:cNvPr id="588" name="BarterBtn_3_79_1" descr="6|79|1">
          <a:extLst>
            <a:ext uri="{FF2B5EF4-FFF2-40B4-BE49-F238E27FC236}">
              <a16:creationId xmlns:a16="http://schemas.microsoft.com/office/drawing/2014/main" id="{D470CA8A-87FD-CCDB-979A-FD1E743E879C}"/>
            </a:ext>
          </a:extLst>
        </xdr:cNvPr>
        <xdr:cNvSpPr/>
      </xdr:nvSpPr>
      <xdr:spPr>
        <a:xfrm>
          <a:off x="59563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85</xdr:row>
      <xdr:rowOff>12700</xdr:rowOff>
    </xdr:from>
    <xdr:to>
      <xdr:col>7</xdr:col>
      <xdr:colOff>673100</xdr:colOff>
      <xdr:row>85</xdr:row>
      <xdr:rowOff>168275</xdr:rowOff>
    </xdr:to>
    <xdr:sp macro="[0]!SelectBarterOffer" textlink="">
      <xdr:nvSpPr>
        <xdr:cNvPr id="589" name="BarterBtn_3_86_1" descr="6|86|1">
          <a:extLst>
            <a:ext uri="{FF2B5EF4-FFF2-40B4-BE49-F238E27FC236}">
              <a16:creationId xmlns:a16="http://schemas.microsoft.com/office/drawing/2014/main" id="{719C8A4E-44E6-DAC2-CE94-FBBA60D98C2F}"/>
            </a:ext>
          </a:extLst>
        </xdr:cNvPr>
        <xdr:cNvSpPr/>
      </xdr:nvSpPr>
      <xdr:spPr>
        <a:xfrm>
          <a:off x="59563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92</xdr:row>
      <xdr:rowOff>12700</xdr:rowOff>
    </xdr:from>
    <xdr:to>
      <xdr:col>7</xdr:col>
      <xdr:colOff>673100</xdr:colOff>
      <xdr:row>92</xdr:row>
      <xdr:rowOff>168275</xdr:rowOff>
    </xdr:to>
    <xdr:sp macro="[0]!SelectBarterOffer" textlink="">
      <xdr:nvSpPr>
        <xdr:cNvPr id="590" name="BarterBtn_3_93_1" descr="6|93|1">
          <a:extLst>
            <a:ext uri="{FF2B5EF4-FFF2-40B4-BE49-F238E27FC236}">
              <a16:creationId xmlns:a16="http://schemas.microsoft.com/office/drawing/2014/main" id="{C7BF3FF5-C8C2-36DD-9652-FAF207BB7766}"/>
            </a:ext>
          </a:extLst>
        </xdr:cNvPr>
        <xdr:cNvSpPr/>
      </xdr:nvSpPr>
      <xdr:spPr>
        <a:xfrm>
          <a:off x="59563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99</xdr:row>
      <xdr:rowOff>12700</xdr:rowOff>
    </xdr:from>
    <xdr:to>
      <xdr:col>7</xdr:col>
      <xdr:colOff>673100</xdr:colOff>
      <xdr:row>99</xdr:row>
      <xdr:rowOff>168275</xdr:rowOff>
    </xdr:to>
    <xdr:sp macro="[0]!SelectBarterOffer" textlink="">
      <xdr:nvSpPr>
        <xdr:cNvPr id="591" name="BarterBtn_3_100_1" descr="6|100|1">
          <a:extLst>
            <a:ext uri="{FF2B5EF4-FFF2-40B4-BE49-F238E27FC236}">
              <a16:creationId xmlns:a16="http://schemas.microsoft.com/office/drawing/2014/main" id="{C82E67E8-99D3-1142-2DA0-715F86D53233}"/>
            </a:ext>
          </a:extLst>
        </xdr:cNvPr>
        <xdr:cNvSpPr/>
      </xdr:nvSpPr>
      <xdr:spPr>
        <a:xfrm>
          <a:off x="59563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106</xdr:row>
      <xdr:rowOff>12700</xdr:rowOff>
    </xdr:from>
    <xdr:to>
      <xdr:col>7</xdr:col>
      <xdr:colOff>673100</xdr:colOff>
      <xdr:row>106</xdr:row>
      <xdr:rowOff>168275</xdr:rowOff>
    </xdr:to>
    <xdr:sp macro="[0]!SelectBarterOffer" textlink="">
      <xdr:nvSpPr>
        <xdr:cNvPr id="592" name="BarterBtn_3_107_1" descr="6|107|1">
          <a:extLst>
            <a:ext uri="{FF2B5EF4-FFF2-40B4-BE49-F238E27FC236}">
              <a16:creationId xmlns:a16="http://schemas.microsoft.com/office/drawing/2014/main" id="{F5179F73-1EA7-81AD-07C1-33A9EA48503D}"/>
            </a:ext>
          </a:extLst>
        </xdr:cNvPr>
        <xdr:cNvSpPr/>
      </xdr:nvSpPr>
      <xdr:spPr>
        <a:xfrm>
          <a:off x="59563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113</xdr:row>
      <xdr:rowOff>12700</xdr:rowOff>
    </xdr:from>
    <xdr:to>
      <xdr:col>7</xdr:col>
      <xdr:colOff>673100</xdr:colOff>
      <xdr:row>113</xdr:row>
      <xdr:rowOff>168275</xdr:rowOff>
    </xdr:to>
    <xdr:sp macro="[0]!SelectBarterOffer" textlink="">
      <xdr:nvSpPr>
        <xdr:cNvPr id="593" name="BarterBtn_3_114_1" descr="6|114|1">
          <a:extLst>
            <a:ext uri="{FF2B5EF4-FFF2-40B4-BE49-F238E27FC236}">
              <a16:creationId xmlns:a16="http://schemas.microsoft.com/office/drawing/2014/main" id="{B8D6E126-4847-4821-B490-7DF21BE35DCA}"/>
            </a:ext>
          </a:extLst>
        </xdr:cNvPr>
        <xdr:cNvSpPr/>
      </xdr:nvSpPr>
      <xdr:spPr>
        <a:xfrm>
          <a:off x="5956300" y="44408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120</xdr:row>
      <xdr:rowOff>12700</xdr:rowOff>
    </xdr:from>
    <xdr:to>
      <xdr:col>7</xdr:col>
      <xdr:colOff>673100</xdr:colOff>
      <xdr:row>120</xdr:row>
      <xdr:rowOff>168275</xdr:rowOff>
    </xdr:to>
    <xdr:sp macro="[0]!SelectBarterOffer" textlink="">
      <xdr:nvSpPr>
        <xdr:cNvPr id="594" name="BarterBtn_3_121_1" descr="6|121|1">
          <a:extLst>
            <a:ext uri="{FF2B5EF4-FFF2-40B4-BE49-F238E27FC236}">
              <a16:creationId xmlns:a16="http://schemas.microsoft.com/office/drawing/2014/main" id="{BB28D5E2-2F17-9E16-005E-295E24EE3E73}"/>
            </a:ext>
          </a:extLst>
        </xdr:cNvPr>
        <xdr:cNvSpPr/>
      </xdr:nvSpPr>
      <xdr:spPr>
        <a:xfrm>
          <a:off x="5956300" y="47161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127</xdr:row>
      <xdr:rowOff>12700</xdr:rowOff>
    </xdr:from>
    <xdr:to>
      <xdr:col>7</xdr:col>
      <xdr:colOff>673100</xdr:colOff>
      <xdr:row>127</xdr:row>
      <xdr:rowOff>168275</xdr:rowOff>
    </xdr:to>
    <xdr:sp macro="[0]!SelectBarterOffer" textlink="">
      <xdr:nvSpPr>
        <xdr:cNvPr id="595" name="BarterBtn_3_128_1" descr="6|128|1">
          <a:extLst>
            <a:ext uri="{FF2B5EF4-FFF2-40B4-BE49-F238E27FC236}">
              <a16:creationId xmlns:a16="http://schemas.microsoft.com/office/drawing/2014/main" id="{DCD2A18D-5F64-C3C6-B18D-EE228A8E6361}"/>
            </a:ext>
          </a:extLst>
        </xdr:cNvPr>
        <xdr:cNvSpPr/>
      </xdr:nvSpPr>
      <xdr:spPr>
        <a:xfrm>
          <a:off x="5956300" y="49914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134</xdr:row>
      <xdr:rowOff>12700</xdr:rowOff>
    </xdr:from>
    <xdr:to>
      <xdr:col>7</xdr:col>
      <xdr:colOff>673100</xdr:colOff>
      <xdr:row>134</xdr:row>
      <xdr:rowOff>168275</xdr:rowOff>
    </xdr:to>
    <xdr:sp macro="[0]!SelectBarterOffer" textlink="">
      <xdr:nvSpPr>
        <xdr:cNvPr id="596" name="BarterBtn_3_135_1" descr="6|135|1">
          <a:extLst>
            <a:ext uri="{FF2B5EF4-FFF2-40B4-BE49-F238E27FC236}">
              <a16:creationId xmlns:a16="http://schemas.microsoft.com/office/drawing/2014/main" id="{62B30F6F-31FA-FFA9-CCB1-307B6FA401CF}"/>
            </a:ext>
          </a:extLst>
        </xdr:cNvPr>
        <xdr:cNvSpPr/>
      </xdr:nvSpPr>
      <xdr:spPr>
        <a:xfrm>
          <a:off x="5956300" y="52666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141</xdr:row>
      <xdr:rowOff>12700</xdr:rowOff>
    </xdr:from>
    <xdr:to>
      <xdr:col>7</xdr:col>
      <xdr:colOff>673100</xdr:colOff>
      <xdr:row>141</xdr:row>
      <xdr:rowOff>168275</xdr:rowOff>
    </xdr:to>
    <xdr:sp macro="[0]!SelectBarterOffer" textlink="">
      <xdr:nvSpPr>
        <xdr:cNvPr id="597" name="BarterBtn_3_142_1" descr="6|142|1">
          <a:extLst>
            <a:ext uri="{FF2B5EF4-FFF2-40B4-BE49-F238E27FC236}">
              <a16:creationId xmlns:a16="http://schemas.microsoft.com/office/drawing/2014/main" id="{FBDB3312-E731-E2CC-400D-7B3D75CFCE4C}"/>
            </a:ext>
          </a:extLst>
        </xdr:cNvPr>
        <xdr:cNvSpPr/>
      </xdr:nvSpPr>
      <xdr:spPr>
        <a:xfrm>
          <a:off x="5956300" y="55419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148</xdr:row>
      <xdr:rowOff>12700</xdr:rowOff>
    </xdr:from>
    <xdr:to>
      <xdr:col>7</xdr:col>
      <xdr:colOff>673100</xdr:colOff>
      <xdr:row>148</xdr:row>
      <xdr:rowOff>168275</xdr:rowOff>
    </xdr:to>
    <xdr:sp macro="[0]!SelectBarterOffer" textlink="">
      <xdr:nvSpPr>
        <xdr:cNvPr id="598" name="BarterBtn_3_149_1" descr="6|149|1">
          <a:extLst>
            <a:ext uri="{FF2B5EF4-FFF2-40B4-BE49-F238E27FC236}">
              <a16:creationId xmlns:a16="http://schemas.microsoft.com/office/drawing/2014/main" id="{545DEF20-7580-EE34-E6FE-1AACF65B9617}"/>
            </a:ext>
          </a:extLst>
        </xdr:cNvPr>
        <xdr:cNvSpPr/>
      </xdr:nvSpPr>
      <xdr:spPr>
        <a:xfrm>
          <a:off x="59563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148</xdr:row>
      <xdr:rowOff>12700</xdr:rowOff>
    </xdr:from>
    <xdr:to>
      <xdr:col>10</xdr:col>
      <xdr:colOff>673100</xdr:colOff>
      <xdr:row>148</xdr:row>
      <xdr:rowOff>168275</xdr:rowOff>
    </xdr:to>
    <xdr:sp macro="[0]!SelectBarterOffer" textlink="">
      <xdr:nvSpPr>
        <xdr:cNvPr id="599" name="BarterBtn_3_149_2" descr="6|149|2">
          <a:extLst>
            <a:ext uri="{FF2B5EF4-FFF2-40B4-BE49-F238E27FC236}">
              <a16:creationId xmlns:a16="http://schemas.microsoft.com/office/drawing/2014/main" id="{DCBE29B4-04DF-C9A2-70A3-3AA4F15B726C}"/>
            </a:ext>
          </a:extLst>
        </xdr:cNvPr>
        <xdr:cNvSpPr/>
      </xdr:nvSpPr>
      <xdr:spPr>
        <a:xfrm>
          <a:off x="80137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155</xdr:row>
      <xdr:rowOff>12700</xdr:rowOff>
    </xdr:from>
    <xdr:to>
      <xdr:col>7</xdr:col>
      <xdr:colOff>673100</xdr:colOff>
      <xdr:row>155</xdr:row>
      <xdr:rowOff>168275</xdr:rowOff>
    </xdr:to>
    <xdr:sp macro="[0]!SelectBarterOffer" textlink="">
      <xdr:nvSpPr>
        <xdr:cNvPr id="600" name="BarterBtn_3_156_1" descr="6|156|1">
          <a:extLst>
            <a:ext uri="{FF2B5EF4-FFF2-40B4-BE49-F238E27FC236}">
              <a16:creationId xmlns:a16="http://schemas.microsoft.com/office/drawing/2014/main" id="{53B9A68C-29DA-85B0-0008-3DB26468A458}"/>
            </a:ext>
          </a:extLst>
        </xdr:cNvPr>
        <xdr:cNvSpPr/>
      </xdr:nvSpPr>
      <xdr:spPr>
        <a:xfrm>
          <a:off x="59563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162</xdr:row>
      <xdr:rowOff>12700</xdr:rowOff>
    </xdr:from>
    <xdr:to>
      <xdr:col>7</xdr:col>
      <xdr:colOff>673100</xdr:colOff>
      <xdr:row>162</xdr:row>
      <xdr:rowOff>168275</xdr:rowOff>
    </xdr:to>
    <xdr:sp macro="[0]!SelectBarterOffer" textlink="">
      <xdr:nvSpPr>
        <xdr:cNvPr id="601" name="BarterBtn_3_163_1" descr="6|163|1">
          <a:extLst>
            <a:ext uri="{FF2B5EF4-FFF2-40B4-BE49-F238E27FC236}">
              <a16:creationId xmlns:a16="http://schemas.microsoft.com/office/drawing/2014/main" id="{3230F0F0-6B63-833C-BE9F-ACBBEB722C5D}"/>
            </a:ext>
          </a:extLst>
        </xdr:cNvPr>
        <xdr:cNvSpPr/>
      </xdr:nvSpPr>
      <xdr:spPr>
        <a:xfrm>
          <a:off x="59563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162</xdr:row>
      <xdr:rowOff>12700</xdr:rowOff>
    </xdr:from>
    <xdr:to>
      <xdr:col>10</xdr:col>
      <xdr:colOff>673100</xdr:colOff>
      <xdr:row>162</xdr:row>
      <xdr:rowOff>168275</xdr:rowOff>
    </xdr:to>
    <xdr:sp macro="[0]!SelectBarterOffer" textlink="">
      <xdr:nvSpPr>
        <xdr:cNvPr id="602" name="BarterBtn_3_163_2" descr="6|163|2">
          <a:extLst>
            <a:ext uri="{FF2B5EF4-FFF2-40B4-BE49-F238E27FC236}">
              <a16:creationId xmlns:a16="http://schemas.microsoft.com/office/drawing/2014/main" id="{7E08F211-97E2-5099-99F9-BD423383E557}"/>
            </a:ext>
          </a:extLst>
        </xdr:cNvPr>
        <xdr:cNvSpPr/>
      </xdr:nvSpPr>
      <xdr:spPr>
        <a:xfrm>
          <a:off x="80137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169</xdr:row>
      <xdr:rowOff>12700</xdr:rowOff>
    </xdr:from>
    <xdr:to>
      <xdr:col>7</xdr:col>
      <xdr:colOff>673100</xdr:colOff>
      <xdr:row>169</xdr:row>
      <xdr:rowOff>168275</xdr:rowOff>
    </xdr:to>
    <xdr:sp macro="[0]!SelectBarterOffer" textlink="">
      <xdr:nvSpPr>
        <xdr:cNvPr id="603" name="BarterBtn_3_170_1" descr="6|170|1">
          <a:extLst>
            <a:ext uri="{FF2B5EF4-FFF2-40B4-BE49-F238E27FC236}">
              <a16:creationId xmlns:a16="http://schemas.microsoft.com/office/drawing/2014/main" id="{8987D46C-91A5-C804-7426-19FC2C4C40D4}"/>
            </a:ext>
          </a:extLst>
        </xdr:cNvPr>
        <xdr:cNvSpPr/>
      </xdr:nvSpPr>
      <xdr:spPr>
        <a:xfrm>
          <a:off x="59563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169</xdr:row>
      <xdr:rowOff>12700</xdr:rowOff>
    </xdr:from>
    <xdr:to>
      <xdr:col>10</xdr:col>
      <xdr:colOff>673100</xdr:colOff>
      <xdr:row>169</xdr:row>
      <xdr:rowOff>168275</xdr:rowOff>
    </xdr:to>
    <xdr:sp macro="[0]!SelectBarterOffer" textlink="">
      <xdr:nvSpPr>
        <xdr:cNvPr id="604" name="BarterBtn_3_170_2" descr="6|170|2">
          <a:extLst>
            <a:ext uri="{FF2B5EF4-FFF2-40B4-BE49-F238E27FC236}">
              <a16:creationId xmlns:a16="http://schemas.microsoft.com/office/drawing/2014/main" id="{A32CE768-EEBC-10E3-94E1-1D14CC9DBFB8}"/>
            </a:ext>
          </a:extLst>
        </xdr:cNvPr>
        <xdr:cNvSpPr/>
      </xdr:nvSpPr>
      <xdr:spPr>
        <a:xfrm>
          <a:off x="80137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176</xdr:row>
      <xdr:rowOff>12700</xdr:rowOff>
    </xdr:from>
    <xdr:to>
      <xdr:col>7</xdr:col>
      <xdr:colOff>673100</xdr:colOff>
      <xdr:row>176</xdr:row>
      <xdr:rowOff>168275</xdr:rowOff>
    </xdr:to>
    <xdr:sp macro="[0]!SelectBarterOffer" textlink="">
      <xdr:nvSpPr>
        <xdr:cNvPr id="605" name="BarterBtn_3_177_1" descr="6|177|1">
          <a:extLst>
            <a:ext uri="{FF2B5EF4-FFF2-40B4-BE49-F238E27FC236}">
              <a16:creationId xmlns:a16="http://schemas.microsoft.com/office/drawing/2014/main" id="{9ACAF031-2682-BE05-208A-67756F3CDCF1}"/>
            </a:ext>
          </a:extLst>
        </xdr:cNvPr>
        <xdr:cNvSpPr/>
      </xdr:nvSpPr>
      <xdr:spPr>
        <a:xfrm>
          <a:off x="59563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176</xdr:row>
      <xdr:rowOff>12700</xdr:rowOff>
    </xdr:from>
    <xdr:to>
      <xdr:col>10</xdr:col>
      <xdr:colOff>673100</xdr:colOff>
      <xdr:row>176</xdr:row>
      <xdr:rowOff>168275</xdr:rowOff>
    </xdr:to>
    <xdr:sp macro="[0]!SelectBarterOffer" textlink="">
      <xdr:nvSpPr>
        <xdr:cNvPr id="606" name="BarterBtn_3_177_2" descr="6|177|2">
          <a:extLst>
            <a:ext uri="{FF2B5EF4-FFF2-40B4-BE49-F238E27FC236}">
              <a16:creationId xmlns:a16="http://schemas.microsoft.com/office/drawing/2014/main" id="{29D6777F-3669-AE18-DBFE-6EB4C8E0F17F}"/>
            </a:ext>
          </a:extLst>
        </xdr:cNvPr>
        <xdr:cNvSpPr/>
      </xdr:nvSpPr>
      <xdr:spPr>
        <a:xfrm>
          <a:off x="80137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183</xdr:row>
      <xdr:rowOff>12700</xdr:rowOff>
    </xdr:from>
    <xdr:to>
      <xdr:col>7</xdr:col>
      <xdr:colOff>673100</xdr:colOff>
      <xdr:row>183</xdr:row>
      <xdr:rowOff>168275</xdr:rowOff>
    </xdr:to>
    <xdr:sp macro="[0]!SelectBarterOffer" textlink="">
      <xdr:nvSpPr>
        <xdr:cNvPr id="607" name="BarterBtn_3_184_1" descr="6|184|1">
          <a:extLst>
            <a:ext uri="{FF2B5EF4-FFF2-40B4-BE49-F238E27FC236}">
              <a16:creationId xmlns:a16="http://schemas.microsoft.com/office/drawing/2014/main" id="{74EF9CA2-93E3-B519-CA89-115FA232969C}"/>
            </a:ext>
          </a:extLst>
        </xdr:cNvPr>
        <xdr:cNvSpPr/>
      </xdr:nvSpPr>
      <xdr:spPr>
        <a:xfrm>
          <a:off x="59563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183</xdr:row>
      <xdr:rowOff>12700</xdr:rowOff>
    </xdr:from>
    <xdr:to>
      <xdr:col>10</xdr:col>
      <xdr:colOff>673100</xdr:colOff>
      <xdr:row>183</xdr:row>
      <xdr:rowOff>168275</xdr:rowOff>
    </xdr:to>
    <xdr:sp macro="[0]!SelectBarterOffer" textlink="">
      <xdr:nvSpPr>
        <xdr:cNvPr id="640" name="BarterBtn_3_184_2" descr="6|184|2">
          <a:extLst>
            <a:ext uri="{FF2B5EF4-FFF2-40B4-BE49-F238E27FC236}">
              <a16:creationId xmlns:a16="http://schemas.microsoft.com/office/drawing/2014/main" id="{AAFFF455-880D-6A8E-0FA5-E287F816A46F}"/>
            </a:ext>
          </a:extLst>
        </xdr:cNvPr>
        <xdr:cNvSpPr/>
      </xdr:nvSpPr>
      <xdr:spPr>
        <a:xfrm>
          <a:off x="80137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190</xdr:row>
      <xdr:rowOff>12700</xdr:rowOff>
    </xdr:from>
    <xdr:to>
      <xdr:col>7</xdr:col>
      <xdr:colOff>673100</xdr:colOff>
      <xdr:row>190</xdr:row>
      <xdr:rowOff>168275</xdr:rowOff>
    </xdr:to>
    <xdr:sp macro="[0]!SelectBarterOffer" textlink="">
      <xdr:nvSpPr>
        <xdr:cNvPr id="641" name="BarterBtn_3_191_1" descr="6|191|1">
          <a:extLst>
            <a:ext uri="{FF2B5EF4-FFF2-40B4-BE49-F238E27FC236}">
              <a16:creationId xmlns:a16="http://schemas.microsoft.com/office/drawing/2014/main" id="{725B22EC-A3A9-6009-48BB-7AD2456ABD2C}"/>
            </a:ext>
          </a:extLst>
        </xdr:cNvPr>
        <xdr:cNvSpPr/>
      </xdr:nvSpPr>
      <xdr:spPr>
        <a:xfrm>
          <a:off x="59563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190</xdr:row>
      <xdr:rowOff>12700</xdr:rowOff>
    </xdr:from>
    <xdr:to>
      <xdr:col>10</xdr:col>
      <xdr:colOff>673100</xdr:colOff>
      <xdr:row>190</xdr:row>
      <xdr:rowOff>168275</xdr:rowOff>
    </xdr:to>
    <xdr:sp macro="[0]!SelectBarterOffer" textlink="">
      <xdr:nvSpPr>
        <xdr:cNvPr id="642" name="BarterBtn_3_191_2" descr="6|191|2">
          <a:extLst>
            <a:ext uri="{FF2B5EF4-FFF2-40B4-BE49-F238E27FC236}">
              <a16:creationId xmlns:a16="http://schemas.microsoft.com/office/drawing/2014/main" id="{84648565-BEF0-1C25-86B2-802FB0B2345C}"/>
            </a:ext>
          </a:extLst>
        </xdr:cNvPr>
        <xdr:cNvSpPr/>
      </xdr:nvSpPr>
      <xdr:spPr>
        <a:xfrm>
          <a:off x="80137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197</xdr:row>
      <xdr:rowOff>12700</xdr:rowOff>
    </xdr:from>
    <xdr:to>
      <xdr:col>7</xdr:col>
      <xdr:colOff>673100</xdr:colOff>
      <xdr:row>197</xdr:row>
      <xdr:rowOff>168275</xdr:rowOff>
    </xdr:to>
    <xdr:sp macro="[0]!SelectBarterOffer" textlink="">
      <xdr:nvSpPr>
        <xdr:cNvPr id="643" name="BarterBtn_3_198_1" descr="6|198|1">
          <a:extLst>
            <a:ext uri="{FF2B5EF4-FFF2-40B4-BE49-F238E27FC236}">
              <a16:creationId xmlns:a16="http://schemas.microsoft.com/office/drawing/2014/main" id="{5BBCA7EB-251C-3E64-B8EC-6621A1FBA61B}"/>
            </a:ext>
          </a:extLst>
        </xdr:cNvPr>
        <xdr:cNvSpPr/>
      </xdr:nvSpPr>
      <xdr:spPr>
        <a:xfrm>
          <a:off x="59563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197</xdr:row>
      <xdr:rowOff>12700</xdr:rowOff>
    </xdr:from>
    <xdr:to>
      <xdr:col>10</xdr:col>
      <xdr:colOff>673100</xdr:colOff>
      <xdr:row>197</xdr:row>
      <xdr:rowOff>168275</xdr:rowOff>
    </xdr:to>
    <xdr:sp macro="[0]!SelectBarterOffer" textlink="">
      <xdr:nvSpPr>
        <xdr:cNvPr id="644" name="BarterBtn_3_198_2" descr="6|198|2">
          <a:extLst>
            <a:ext uri="{FF2B5EF4-FFF2-40B4-BE49-F238E27FC236}">
              <a16:creationId xmlns:a16="http://schemas.microsoft.com/office/drawing/2014/main" id="{9CDF1269-02C3-BF49-AC60-F980C6096EC4}"/>
            </a:ext>
          </a:extLst>
        </xdr:cNvPr>
        <xdr:cNvSpPr/>
      </xdr:nvSpPr>
      <xdr:spPr>
        <a:xfrm>
          <a:off x="80137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204</xdr:row>
      <xdr:rowOff>12700</xdr:rowOff>
    </xdr:from>
    <xdr:to>
      <xdr:col>7</xdr:col>
      <xdr:colOff>673100</xdr:colOff>
      <xdr:row>204</xdr:row>
      <xdr:rowOff>168275</xdr:rowOff>
    </xdr:to>
    <xdr:sp macro="[0]!SelectBarterOffer" textlink="">
      <xdr:nvSpPr>
        <xdr:cNvPr id="645" name="BarterBtn_3_205_1" descr="6|205|1">
          <a:extLst>
            <a:ext uri="{FF2B5EF4-FFF2-40B4-BE49-F238E27FC236}">
              <a16:creationId xmlns:a16="http://schemas.microsoft.com/office/drawing/2014/main" id="{523D9801-7D4E-2056-24F7-A12F5C956A93}"/>
            </a:ext>
          </a:extLst>
        </xdr:cNvPr>
        <xdr:cNvSpPr/>
      </xdr:nvSpPr>
      <xdr:spPr>
        <a:xfrm>
          <a:off x="59563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204</xdr:row>
      <xdr:rowOff>12700</xdr:rowOff>
    </xdr:from>
    <xdr:to>
      <xdr:col>10</xdr:col>
      <xdr:colOff>673100</xdr:colOff>
      <xdr:row>204</xdr:row>
      <xdr:rowOff>168275</xdr:rowOff>
    </xdr:to>
    <xdr:sp macro="[0]!SelectBarterOffer" textlink="">
      <xdr:nvSpPr>
        <xdr:cNvPr id="646" name="BarterBtn_3_205_2" descr="6|205|2">
          <a:extLst>
            <a:ext uri="{FF2B5EF4-FFF2-40B4-BE49-F238E27FC236}">
              <a16:creationId xmlns:a16="http://schemas.microsoft.com/office/drawing/2014/main" id="{2F886A2B-7972-14DE-6F07-570F305C0E7A}"/>
            </a:ext>
          </a:extLst>
        </xdr:cNvPr>
        <xdr:cNvSpPr/>
      </xdr:nvSpPr>
      <xdr:spPr>
        <a:xfrm>
          <a:off x="80137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211</xdr:row>
      <xdr:rowOff>12700</xdr:rowOff>
    </xdr:from>
    <xdr:to>
      <xdr:col>7</xdr:col>
      <xdr:colOff>673100</xdr:colOff>
      <xdr:row>211</xdr:row>
      <xdr:rowOff>168275</xdr:rowOff>
    </xdr:to>
    <xdr:sp macro="[0]!SelectBarterOffer" textlink="">
      <xdr:nvSpPr>
        <xdr:cNvPr id="647" name="BarterBtn_3_212_1" descr="6|212|1">
          <a:extLst>
            <a:ext uri="{FF2B5EF4-FFF2-40B4-BE49-F238E27FC236}">
              <a16:creationId xmlns:a16="http://schemas.microsoft.com/office/drawing/2014/main" id="{FC0A6E59-7E97-DCBC-2C14-F83E0DF1E64F}"/>
            </a:ext>
          </a:extLst>
        </xdr:cNvPr>
        <xdr:cNvSpPr/>
      </xdr:nvSpPr>
      <xdr:spPr>
        <a:xfrm>
          <a:off x="59563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211</xdr:row>
      <xdr:rowOff>12700</xdr:rowOff>
    </xdr:from>
    <xdr:to>
      <xdr:col>10</xdr:col>
      <xdr:colOff>673100</xdr:colOff>
      <xdr:row>211</xdr:row>
      <xdr:rowOff>168275</xdr:rowOff>
    </xdr:to>
    <xdr:sp macro="[0]!SelectBarterOffer" textlink="">
      <xdr:nvSpPr>
        <xdr:cNvPr id="648" name="BarterBtn_3_212_2" descr="6|212|2">
          <a:extLst>
            <a:ext uri="{FF2B5EF4-FFF2-40B4-BE49-F238E27FC236}">
              <a16:creationId xmlns:a16="http://schemas.microsoft.com/office/drawing/2014/main" id="{D704E7A2-3AC1-535B-9128-4B0D5485CDC1}"/>
            </a:ext>
          </a:extLst>
        </xdr:cNvPr>
        <xdr:cNvSpPr/>
      </xdr:nvSpPr>
      <xdr:spPr>
        <a:xfrm>
          <a:off x="80137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218</xdr:row>
      <xdr:rowOff>12700</xdr:rowOff>
    </xdr:from>
    <xdr:to>
      <xdr:col>7</xdr:col>
      <xdr:colOff>673100</xdr:colOff>
      <xdr:row>218</xdr:row>
      <xdr:rowOff>168275</xdr:rowOff>
    </xdr:to>
    <xdr:sp macro="[0]!SelectBarterOffer" textlink="">
      <xdr:nvSpPr>
        <xdr:cNvPr id="649" name="BarterBtn_3_219_1" descr="6|219|1">
          <a:extLst>
            <a:ext uri="{FF2B5EF4-FFF2-40B4-BE49-F238E27FC236}">
              <a16:creationId xmlns:a16="http://schemas.microsoft.com/office/drawing/2014/main" id="{7B74A436-22D0-B7AE-2CB6-43E6CCEB158D}"/>
            </a:ext>
          </a:extLst>
        </xdr:cNvPr>
        <xdr:cNvSpPr/>
      </xdr:nvSpPr>
      <xdr:spPr>
        <a:xfrm>
          <a:off x="59563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225</xdr:row>
      <xdr:rowOff>12700</xdr:rowOff>
    </xdr:from>
    <xdr:to>
      <xdr:col>7</xdr:col>
      <xdr:colOff>673100</xdr:colOff>
      <xdr:row>225</xdr:row>
      <xdr:rowOff>168275</xdr:rowOff>
    </xdr:to>
    <xdr:sp macro="[0]!SelectBarterOffer" textlink="">
      <xdr:nvSpPr>
        <xdr:cNvPr id="650" name="BarterBtn_3_226_1" descr="6|226|1">
          <a:extLst>
            <a:ext uri="{FF2B5EF4-FFF2-40B4-BE49-F238E27FC236}">
              <a16:creationId xmlns:a16="http://schemas.microsoft.com/office/drawing/2014/main" id="{38D4E192-C1D5-A328-9A4E-80F346A0E816}"/>
            </a:ext>
          </a:extLst>
        </xdr:cNvPr>
        <xdr:cNvSpPr/>
      </xdr:nvSpPr>
      <xdr:spPr>
        <a:xfrm>
          <a:off x="59563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232</xdr:row>
      <xdr:rowOff>12700</xdr:rowOff>
    </xdr:from>
    <xdr:to>
      <xdr:col>7</xdr:col>
      <xdr:colOff>673100</xdr:colOff>
      <xdr:row>232</xdr:row>
      <xdr:rowOff>168275</xdr:rowOff>
    </xdr:to>
    <xdr:sp macro="[0]!SelectBarterOffer" textlink="">
      <xdr:nvSpPr>
        <xdr:cNvPr id="651" name="BarterBtn_3_233_1" descr="6|233|1">
          <a:extLst>
            <a:ext uri="{FF2B5EF4-FFF2-40B4-BE49-F238E27FC236}">
              <a16:creationId xmlns:a16="http://schemas.microsoft.com/office/drawing/2014/main" id="{756B15D6-129D-81DC-A6A5-25F2149D6705}"/>
            </a:ext>
          </a:extLst>
        </xdr:cNvPr>
        <xdr:cNvSpPr/>
      </xdr:nvSpPr>
      <xdr:spPr>
        <a:xfrm>
          <a:off x="59563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239</xdr:row>
      <xdr:rowOff>12700</xdr:rowOff>
    </xdr:from>
    <xdr:to>
      <xdr:col>7</xdr:col>
      <xdr:colOff>673100</xdr:colOff>
      <xdr:row>239</xdr:row>
      <xdr:rowOff>168275</xdr:rowOff>
    </xdr:to>
    <xdr:sp macro="[0]!SelectBarterOffer" textlink="">
      <xdr:nvSpPr>
        <xdr:cNvPr id="652" name="BarterBtn_3_240_1" descr="6|240|1">
          <a:extLst>
            <a:ext uri="{FF2B5EF4-FFF2-40B4-BE49-F238E27FC236}">
              <a16:creationId xmlns:a16="http://schemas.microsoft.com/office/drawing/2014/main" id="{BE0D457D-B614-FEBB-302F-B736756D7DF8}"/>
            </a:ext>
          </a:extLst>
        </xdr:cNvPr>
        <xdr:cNvSpPr/>
      </xdr:nvSpPr>
      <xdr:spPr>
        <a:xfrm>
          <a:off x="59563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246</xdr:row>
      <xdr:rowOff>12700</xdr:rowOff>
    </xdr:from>
    <xdr:to>
      <xdr:col>7</xdr:col>
      <xdr:colOff>673100</xdr:colOff>
      <xdr:row>246</xdr:row>
      <xdr:rowOff>168275</xdr:rowOff>
    </xdr:to>
    <xdr:sp macro="[0]!SelectBarterOffer" textlink="">
      <xdr:nvSpPr>
        <xdr:cNvPr id="653" name="BarterBtn_3_247_1" descr="6|247|1">
          <a:extLst>
            <a:ext uri="{FF2B5EF4-FFF2-40B4-BE49-F238E27FC236}">
              <a16:creationId xmlns:a16="http://schemas.microsoft.com/office/drawing/2014/main" id="{F50CE3D0-9FC2-E4DF-BA6C-2226498FCB80}"/>
            </a:ext>
          </a:extLst>
        </xdr:cNvPr>
        <xdr:cNvSpPr/>
      </xdr:nvSpPr>
      <xdr:spPr>
        <a:xfrm>
          <a:off x="59563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253</xdr:row>
      <xdr:rowOff>12700</xdr:rowOff>
    </xdr:from>
    <xdr:to>
      <xdr:col>7</xdr:col>
      <xdr:colOff>673100</xdr:colOff>
      <xdr:row>253</xdr:row>
      <xdr:rowOff>168275</xdr:rowOff>
    </xdr:to>
    <xdr:sp macro="[0]!SelectBarterOffer" textlink="">
      <xdr:nvSpPr>
        <xdr:cNvPr id="654" name="BarterBtn_3_254_1" descr="6|254|1">
          <a:extLst>
            <a:ext uri="{FF2B5EF4-FFF2-40B4-BE49-F238E27FC236}">
              <a16:creationId xmlns:a16="http://schemas.microsoft.com/office/drawing/2014/main" id="{283AF2BE-096B-D118-EA55-CA3AE81F67C3}"/>
            </a:ext>
          </a:extLst>
        </xdr:cNvPr>
        <xdr:cNvSpPr/>
      </xdr:nvSpPr>
      <xdr:spPr>
        <a:xfrm>
          <a:off x="59563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253</xdr:row>
      <xdr:rowOff>12700</xdr:rowOff>
    </xdr:from>
    <xdr:to>
      <xdr:col>10</xdr:col>
      <xdr:colOff>673100</xdr:colOff>
      <xdr:row>253</xdr:row>
      <xdr:rowOff>168275</xdr:rowOff>
    </xdr:to>
    <xdr:sp macro="[0]!SelectBarterOffer" textlink="">
      <xdr:nvSpPr>
        <xdr:cNvPr id="655" name="BarterBtn_3_254_2" descr="6|254|2">
          <a:extLst>
            <a:ext uri="{FF2B5EF4-FFF2-40B4-BE49-F238E27FC236}">
              <a16:creationId xmlns:a16="http://schemas.microsoft.com/office/drawing/2014/main" id="{11547CE1-D731-7B75-EBFE-AB011A5ED1CE}"/>
            </a:ext>
          </a:extLst>
        </xdr:cNvPr>
        <xdr:cNvSpPr/>
      </xdr:nvSpPr>
      <xdr:spPr>
        <a:xfrm>
          <a:off x="80137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260</xdr:row>
      <xdr:rowOff>12700</xdr:rowOff>
    </xdr:from>
    <xdr:to>
      <xdr:col>7</xdr:col>
      <xdr:colOff>673100</xdr:colOff>
      <xdr:row>260</xdr:row>
      <xdr:rowOff>168275</xdr:rowOff>
    </xdr:to>
    <xdr:sp macro="[0]!SelectBarterOffer" textlink="">
      <xdr:nvSpPr>
        <xdr:cNvPr id="656" name="BarterBtn_3_261_1" descr="6|261|1">
          <a:extLst>
            <a:ext uri="{FF2B5EF4-FFF2-40B4-BE49-F238E27FC236}">
              <a16:creationId xmlns:a16="http://schemas.microsoft.com/office/drawing/2014/main" id="{DCF7E56F-3F44-60BE-77F2-AF0F920C970A}"/>
            </a:ext>
          </a:extLst>
        </xdr:cNvPr>
        <xdr:cNvSpPr/>
      </xdr:nvSpPr>
      <xdr:spPr>
        <a:xfrm>
          <a:off x="5956300" y="102215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267</xdr:row>
      <xdr:rowOff>12700</xdr:rowOff>
    </xdr:from>
    <xdr:to>
      <xdr:col>7</xdr:col>
      <xdr:colOff>673100</xdr:colOff>
      <xdr:row>267</xdr:row>
      <xdr:rowOff>168275</xdr:rowOff>
    </xdr:to>
    <xdr:sp macro="[0]!SelectBarterOffer" textlink="">
      <xdr:nvSpPr>
        <xdr:cNvPr id="657" name="BarterBtn_3_268_1" descr="6|268|1">
          <a:extLst>
            <a:ext uri="{FF2B5EF4-FFF2-40B4-BE49-F238E27FC236}">
              <a16:creationId xmlns:a16="http://schemas.microsoft.com/office/drawing/2014/main" id="{D06626F0-DDB7-8B64-3A2D-2155330BAE8A}"/>
            </a:ext>
          </a:extLst>
        </xdr:cNvPr>
        <xdr:cNvSpPr/>
      </xdr:nvSpPr>
      <xdr:spPr>
        <a:xfrm>
          <a:off x="59563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267</xdr:row>
      <xdr:rowOff>12700</xdr:rowOff>
    </xdr:from>
    <xdr:to>
      <xdr:col>10</xdr:col>
      <xdr:colOff>673100</xdr:colOff>
      <xdr:row>267</xdr:row>
      <xdr:rowOff>168275</xdr:rowOff>
    </xdr:to>
    <xdr:sp macro="[0]!SelectBarterOffer" textlink="">
      <xdr:nvSpPr>
        <xdr:cNvPr id="658" name="BarterBtn_3_268_2" descr="6|268|2">
          <a:extLst>
            <a:ext uri="{FF2B5EF4-FFF2-40B4-BE49-F238E27FC236}">
              <a16:creationId xmlns:a16="http://schemas.microsoft.com/office/drawing/2014/main" id="{3976BF3B-1FF2-82C1-3DCA-9AE1C0CDDD99}"/>
            </a:ext>
          </a:extLst>
        </xdr:cNvPr>
        <xdr:cNvSpPr/>
      </xdr:nvSpPr>
      <xdr:spPr>
        <a:xfrm>
          <a:off x="80137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274</xdr:row>
      <xdr:rowOff>12700</xdr:rowOff>
    </xdr:from>
    <xdr:to>
      <xdr:col>7</xdr:col>
      <xdr:colOff>673100</xdr:colOff>
      <xdr:row>274</xdr:row>
      <xdr:rowOff>168275</xdr:rowOff>
    </xdr:to>
    <xdr:sp macro="[0]!SelectBarterOffer" textlink="">
      <xdr:nvSpPr>
        <xdr:cNvPr id="659" name="BarterBtn_3_275_1" descr="6|275|1">
          <a:extLst>
            <a:ext uri="{FF2B5EF4-FFF2-40B4-BE49-F238E27FC236}">
              <a16:creationId xmlns:a16="http://schemas.microsoft.com/office/drawing/2014/main" id="{1EAD1804-207A-9336-2DE4-1AF82B0F7557}"/>
            </a:ext>
          </a:extLst>
        </xdr:cNvPr>
        <xdr:cNvSpPr/>
      </xdr:nvSpPr>
      <xdr:spPr>
        <a:xfrm>
          <a:off x="59563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274</xdr:row>
      <xdr:rowOff>12700</xdr:rowOff>
    </xdr:from>
    <xdr:to>
      <xdr:col>10</xdr:col>
      <xdr:colOff>673100</xdr:colOff>
      <xdr:row>274</xdr:row>
      <xdr:rowOff>168275</xdr:rowOff>
    </xdr:to>
    <xdr:sp macro="[0]!SelectBarterOffer" textlink="">
      <xdr:nvSpPr>
        <xdr:cNvPr id="660" name="BarterBtn_3_275_2" descr="6|275|2">
          <a:extLst>
            <a:ext uri="{FF2B5EF4-FFF2-40B4-BE49-F238E27FC236}">
              <a16:creationId xmlns:a16="http://schemas.microsoft.com/office/drawing/2014/main" id="{358289ED-06E2-2BA9-4185-A493F3FCB33E}"/>
            </a:ext>
          </a:extLst>
        </xdr:cNvPr>
        <xdr:cNvSpPr/>
      </xdr:nvSpPr>
      <xdr:spPr>
        <a:xfrm>
          <a:off x="80137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274</xdr:row>
      <xdr:rowOff>12700</xdr:rowOff>
    </xdr:from>
    <xdr:to>
      <xdr:col>13</xdr:col>
      <xdr:colOff>673100</xdr:colOff>
      <xdr:row>274</xdr:row>
      <xdr:rowOff>168275</xdr:rowOff>
    </xdr:to>
    <xdr:sp macro="[0]!SelectBarterOffer" textlink="">
      <xdr:nvSpPr>
        <xdr:cNvPr id="733" name="BarterBtn_3_275_3" descr="6|275|3">
          <a:extLst>
            <a:ext uri="{FF2B5EF4-FFF2-40B4-BE49-F238E27FC236}">
              <a16:creationId xmlns:a16="http://schemas.microsoft.com/office/drawing/2014/main" id="{83B9090C-1812-6759-7F80-95128AE6274C}"/>
            </a:ext>
          </a:extLst>
        </xdr:cNvPr>
        <xdr:cNvSpPr/>
      </xdr:nvSpPr>
      <xdr:spPr>
        <a:xfrm>
          <a:off x="100711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5</xdr:col>
      <xdr:colOff>12700</xdr:colOff>
      <xdr:row>281</xdr:row>
      <xdr:rowOff>12700</xdr:rowOff>
    </xdr:from>
    <xdr:to>
      <xdr:col>7</xdr:col>
      <xdr:colOff>673100</xdr:colOff>
      <xdr:row>281</xdr:row>
      <xdr:rowOff>168275</xdr:rowOff>
    </xdr:to>
    <xdr:sp macro="[0]!SelectBarterOffer" textlink="">
      <xdr:nvSpPr>
        <xdr:cNvPr id="734" name="BarterBtn_3_282_1" descr="6|282|1">
          <a:extLst>
            <a:ext uri="{FF2B5EF4-FFF2-40B4-BE49-F238E27FC236}">
              <a16:creationId xmlns:a16="http://schemas.microsoft.com/office/drawing/2014/main" id="{1194FC9F-4230-2705-077B-D3421F99D58A}"/>
            </a:ext>
          </a:extLst>
        </xdr:cNvPr>
        <xdr:cNvSpPr/>
      </xdr:nvSpPr>
      <xdr:spPr>
        <a:xfrm>
          <a:off x="59563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281</xdr:row>
      <xdr:rowOff>12700</xdr:rowOff>
    </xdr:from>
    <xdr:to>
      <xdr:col>10</xdr:col>
      <xdr:colOff>673100</xdr:colOff>
      <xdr:row>281</xdr:row>
      <xdr:rowOff>168275</xdr:rowOff>
    </xdr:to>
    <xdr:sp macro="[0]!SelectBarterOffer" textlink="">
      <xdr:nvSpPr>
        <xdr:cNvPr id="735" name="BarterBtn_3_282_2" descr="6|282|2">
          <a:extLst>
            <a:ext uri="{FF2B5EF4-FFF2-40B4-BE49-F238E27FC236}">
              <a16:creationId xmlns:a16="http://schemas.microsoft.com/office/drawing/2014/main" id="{4CF83946-C3BD-5728-BF99-77FCEFA9C66E}"/>
            </a:ext>
          </a:extLst>
        </xdr:cNvPr>
        <xdr:cNvSpPr/>
      </xdr:nvSpPr>
      <xdr:spPr>
        <a:xfrm>
          <a:off x="80137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288</xdr:row>
      <xdr:rowOff>12700</xdr:rowOff>
    </xdr:from>
    <xdr:to>
      <xdr:col>7</xdr:col>
      <xdr:colOff>673100</xdr:colOff>
      <xdr:row>288</xdr:row>
      <xdr:rowOff>168275</xdr:rowOff>
    </xdr:to>
    <xdr:sp macro="[0]!SelectBarterOffer" textlink="">
      <xdr:nvSpPr>
        <xdr:cNvPr id="736" name="BarterBtn_3_289_1" descr="6|289|1">
          <a:extLst>
            <a:ext uri="{FF2B5EF4-FFF2-40B4-BE49-F238E27FC236}">
              <a16:creationId xmlns:a16="http://schemas.microsoft.com/office/drawing/2014/main" id="{B6953D5D-0183-39B1-9AF9-787F466BEAFB}"/>
            </a:ext>
          </a:extLst>
        </xdr:cNvPr>
        <xdr:cNvSpPr/>
      </xdr:nvSpPr>
      <xdr:spPr>
        <a:xfrm>
          <a:off x="59563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288</xdr:row>
      <xdr:rowOff>12700</xdr:rowOff>
    </xdr:from>
    <xdr:to>
      <xdr:col>10</xdr:col>
      <xdr:colOff>673100</xdr:colOff>
      <xdr:row>288</xdr:row>
      <xdr:rowOff>168275</xdr:rowOff>
    </xdr:to>
    <xdr:sp macro="[0]!SelectBarterOffer" textlink="">
      <xdr:nvSpPr>
        <xdr:cNvPr id="737" name="BarterBtn_3_289_2" descr="6|289|2">
          <a:extLst>
            <a:ext uri="{FF2B5EF4-FFF2-40B4-BE49-F238E27FC236}">
              <a16:creationId xmlns:a16="http://schemas.microsoft.com/office/drawing/2014/main" id="{EA42852F-D288-DFCA-524E-3D2B91BEBB77}"/>
            </a:ext>
          </a:extLst>
        </xdr:cNvPr>
        <xdr:cNvSpPr/>
      </xdr:nvSpPr>
      <xdr:spPr>
        <a:xfrm>
          <a:off x="80137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295</xdr:row>
      <xdr:rowOff>12700</xdr:rowOff>
    </xdr:from>
    <xdr:to>
      <xdr:col>7</xdr:col>
      <xdr:colOff>673100</xdr:colOff>
      <xdr:row>295</xdr:row>
      <xdr:rowOff>168275</xdr:rowOff>
    </xdr:to>
    <xdr:sp macro="[0]!SelectBarterOffer" textlink="">
      <xdr:nvSpPr>
        <xdr:cNvPr id="738" name="BarterBtn_3_296_1" descr="6|296|1">
          <a:extLst>
            <a:ext uri="{FF2B5EF4-FFF2-40B4-BE49-F238E27FC236}">
              <a16:creationId xmlns:a16="http://schemas.microsoft.com/office/drawing/2014/main" id="{2614D6AE-EC6C-8E6B-4839-85F0E810C945}"/>
            </a:ext>
          </a:extLst>
        </xdr:cNvPr>
        <xdr:cNvSpPr/>
      </xdr:nvSpPr>
      <xdr:spPr>
        <a:xfrm>
          <a:off x="5956300" y="115979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295</xdr:row>
      <xdr:rowOff>12700</xdr:rowOff>
    </xdr:from>
    <xdr:to>
      <xdr:col>10</xdr:col>
      <xdr:colOff>673100</xdr:colOff>
      <xdr:row>295</xdr:row>
      <xdr:rowOff>168275</xdr:rowOff>
    </xdr:to>
    <xdr:sp macro="[0]!SelectBarterOffer" textlink="">
      <xdr:nvSpPr>
        <xdr:cNvPr id="739" name="BarterBtn_3_296_2" descr="6|296|2">
          <a:extLst>
            <a:ext uri="{FF2B5EF4-FFF2-40B4-BE49-F238E27FC236}">
              <a16:creationId xmlns:a16="http://schemas.microsoft.com/office/drawing/2014/main" id="{4E4A03A6-505D-775A-746B-6E2EB61B5CDB}"/>
            </a:ext>
          </a:extLst>
        </xdr:cNvPr>
        <xdr:cNvSpPr/>
      </xdr:nvSpPr>
      <xdr:spPr>
        <a:xfrm>
          <a:off x="8013700" y="115979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302</xdr:row>
      <xdr:rowOff>12700</xdr:rowOff>
    </xdr:from>
    <xdr:to>
      <xdr:col>7</xdr:col>
      <xdr:colOff>673100</xdr:colOff>
      <xdr:row>302</xdr:row>
      <xdr:rowOff>168275</xdr:rowOff>
    </xdr:to>
    <xdr:sp macro="[0]!SelectBarterOffer" textlink="">
      <xdr:nvSpPr>
        <xdr:cNvPr id="740" name="BarterBtn_3_303_1" descr="6|303|1">
          <a:extLst>
            <a:ext uri="{FF2B5EF4-FFF2-40B4-BE49-F238E27FC236}">
              <a16:creationId xmlns:a16="http://schemas.microsoft.com/office/drawing/2014/main" id="{5289D6F8-7DFF-8FB6-BEE9-BEC3A2B4EBD4}"/>
            </a:ext>
          </a:extLst>
        </xdr:cNvPr>
        <xdr:cNvSpPr/>
      </xdr:nvSpPr>
      <xdr:spPr>
        <a:xfrm>
          <a:off x="59563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302</xdr:row>
      <xdr:rowOff>12700</xdr:rowOff>
    </xdr:from>
    <xdr:to>
      <xdr:col>10</xdr:col>
      <xdr:colOff>673100</xdr:colOff>
      <xdr:row>302</xdr:row>
      <xdr:rowOff>168275</xdr:rowOff>
    </xdr:to>
    <xdr:sp macro="[0]!SelectBarterOffer" textlink="">
      <xdr:nvSpPr>
        <xdr:cNvPr id="741" name="BarterBtn_3_303_2" descr="6|303|2">
          <a:extLst>
            <a:ext uri="{FF2B5EF4-FFF2-40B4-BE49-F238E27FC236}">
              <a16:creationId xmlns:a16="http://schemas.microsoft.com/office/drawing/2014/main" id="{04D1175E-3774-49D6-0ED0-DC86B6D34F65}"/>
            </a:ext>
          </a:extLst>
        </xdr:cNvPr>
        <xdr:cNvSpPr/>
      </xdr:nvSpPr>
      <xdr:spPr>
        <a:xfrm>
          <a:off x="80137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302</xdr:row>
      <xdr:rowOff>12700</xdr:rowOff>
    </xdr:from>
    <xdr:to>
      <xdr:col>13</xdr:col>
      <xdr:colOff>673100</xdr:colOff>
      <xdr:row>302</xdr:row>
      <xdr:rowOff>168275</xdr:rowOff>
    </xdr:to>
    <xdr:sp macro="[0]!SelectBarterOffer" textlink="">
      <xdr:nvSpPr>
        <xdr:cNvPr id="742" name="BarterBtn_3_303_3" descr="6|303|3">
          <a:extLst>
            <a:ext uri="{FF2B5EF4-FFF2-40B4-BE49-F238E27FC236}">
              <a16:creationId xmlns:a16="http://schemas.microsoft.com/office/drawing/2014/main" id="{F05695F5-993C-5452-14CD-57DB6BB8A030}"/>
            </a:ext>
          </a:extLst>
        </xdr:cNvPr>
        <xdr:cNvSpPr/>
      </xdr:nvSpPr>
      <xdr:spPr>
        <a:xfrm>
          <a:off x="100711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5</xdr:col>
      <xdr:colOff>12700</xdr:colOff>
      <xdr:row>309</xdr:row>
      <xdr:rowOff>12700</xdr:rowOff>
    </xdr:from>
    <xdr:to>
      <xdr:col>7</xdr:col>
      <xdr:colOff>673100</xdr:colOff>
      <xdr:row>309</xdr:row>
      <xdr:rowOff>168275</xdr:rowOff>
    </xdr:to>
    <xdr:sp macro="[0]!SelectBarterOffer" textlink="">
      <xdr:nvSpPr>
        <xdr:cNvPr id="743" name="BarterBtn_3_310_1" descr="6|310|1">
          <a:extLst>
            <a:ext uri="{FF2B5EF4-FFF2-40B4-BE49-F238E27FC236}">
              <a16:creationId xmlns:a16="http://schemas.microsoft.com/office/drawing/2014/main" id="{2FC4DE2C-D0B9-8440-9A4D-006E5A5B1AE7}"/>
            </a:ext>
          </a:extLst>
        </xdr:cNvPr>
        <xdr:cNvSpPr/>
      </xdr:nvSpPr>
      <xdr:spPr>
        <a:xfrm>
          <a:off x="5956300" y="121485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309</xdr:row>
      <xdr:rowOff>12700</xdr:rowOff>
    </xdr:from>
    <xdr:to>
      <xdr:col>10</xdr:col>
      <xdr:colOff>673100</xdr:colOff>
      <xdr:row>309</xdr:row>
      <xdr:rowOff>168275</xdr:rowOff>
    </xdr:to>
    <xdr:sp macro="[0]!SelectBarterOffer" textlink="">
      <xdr:nvSpPr>
        <xdr:cNvPr id="744" name="BarterBtn_3_310_2" descr="6|310|2">
          <a:extLst>
            <a:ext uri="{FF2B5EF4-FFF2-40B4-BE49-F238E27FC236}">
              <a16:creationId xmlns:a16="http://schemas.microsoft.com/office/drawing/2014/main" id="{57950B4B-1B39-2AC7-3357-7689BA9DD159}"/>
            </a:ext>
          </a:extLst>
        </xdr:cNvPr>
        <xdr:cNvSpPr/>
      </xdr:nvSpPr>
      <xdr:spPr>
        <a:xfrm>
          <a:off x="8013700" y="121485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316</xdr:row>
      <xdr:rowOff>12700</xdr:rowOff>
    </xdr:from>
    <xdr:to>
      <xdr:col>7</xdr:col>
      <xdr:colOff>673100</xdr:colOff>
      <xdr:row>316</xdr:row>
      <xdr:rowOff>168275</xdr:rowOff>
    </xdr:to>
    <xdr:sp macro="[0]!SelectBarterOffer" textlink="">
      <xdr:nvSpPr>
        <xdr:cNvPr id="745" name="BarterBtn_3_317_1" descr="6|317|1">
          <a:extLst>
            <a:ext uri="{FF2B5EF4-FFF2-40B4-BE49-F238E27FC236}">
              <a16:creationId xmlns:a16="http://schemas.microsoft.com/office/drawing/2014/main" id="{D17EA58C-4BB1-4825-68E9-BFCA2B1CFBCC}"/>
            </a:ext>
          </a:extLst>
        </xdr:cNvPr>
        <xdr:cNvSpPr/>
      </xdr:nvSpPr>
      <xdr:spPr>
        <a:xfrm>
          <a:off x="5956300" y="124237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316</xdr:row>
      <xdr:rowOff>12700</xdr:rowOff>
    </xdr:from>
    <xdr:to>
      <xdr:col>10</xdr:col>
      <xdr:colOff>673100</xdr:colOff>
      <xdr:row>316</xdr:row>
      <xdr:rowOff>168275</xdr:rowOff>
    </xdr:to>
    <xdr:sp macro="[0]!SelectBarterOffer" textlink="">
      <xdr:nvSpPr>
        <xdr:cNvPr id="746" name="BarterBtn_3_317_2" descr="6|317|2">
          <a:extLst>
            <a:ext uri="{FF2B5EF4-FFF2-40B4-BE49-F238E27FC236}">
              <a16:creationId xmlns:a16="http://schemas.microsoft.com/office/drawing/2014/main" id="{A88704C7-8AED-230A-74B8-3BE7860BBE6E}"/>
            </a:ext>
          </a:extLst>
        </xdr:cNvPr>
        <xdr:cNvSpPr/>
      </xdr:nvSpPr>
      <xdr:spPr>
        <a:xfrm>
          <a:off x="8013700" y="124237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323</xdr:row>
      <xdr:rowOff>12700</xdr:rowOff>
    </xdr:from>
    <xdr:to>
      <xdr:col>7</xdr:col>
      <xdr:colOff>673100</xdr:colOff>
      <xdr:row>323</xdr:row>
      <xdr:rowOff>168275</xdr:rowOff>
    </xdr:to>
    <xdr:sp macro="[0]!SelectBarterOffer" textlink="">
      <xdr:nvSpPr>
        <xdr:cNvPr id="747" name="BarterBtn_3_324_1" descr="6|324|1">
          <a:extLst>
            <a:ext uri="{FF2B5EF4-FFF2-40B4-BE49-F238E27FC236}">
              <a16:creationId xmlns:a16="http://schemas.microsoft.com/office/drawing/2014/main" id="{B5B0E4B0-4806-7082-7380-6364458A9607}"/>
            </a:ext>
          </a:extLst>
        </xdr:cNvPr>
        <xdr:cNvSpPr/>
      </xdr:nvSpPr>
      <xdr:spPr>
        <a:xfrm>
          <a:off x="5956300" y="126990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323</xdr:row>
      <xdr:rowOff>12700</xdr:rowOff>
    </xdr:from>
    <xdr:to>
      <xdr:col>10</xdr:col>
      <xdr:colOff>673100</xdr:colOff>
      <xdr:row>323</xdr:row>
      <xdr:rowOff>168275</xdr:rowOff>
    </xdr:to>
    <xdr:sp macro="[0]!SelectBarterOffer" textlink="">
      <xdr:nvSpPr>
        <xdr:cNvPr id="748" name="BarterBtn_3_324_2" descr="6|324|2">
          <a:extLst>
            <a:ext uri="{FF2B5EF4-FFF2-40B4-BE49-F238E27FC236}">
              <a16:creationId xmlns:a16="http://schemas.microsoft.com/office/drawing/2014/main" id="{39D055DB-AA0C-379C-A81F-9D5D4B845795}"/>
            </a:ext>
          </a:extLst>
        </xdr:cNvPr>
        <xdr:cNvSpPr/>
      </xdr:nvSpPr>
      <xdr:spPr>
        <a:xfrm>
          <a:off x="8013700" y="126990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330</xdr:row>
      <xdr:rowOff>12700</xdr:rowOff>
    </xdr:from>
    <xdr:to>
      <xdr:col>7</xdr:col>
      <xdr:colOff>673100</xdr:colOff>
      <xdr:row>330</xdr:row>
      <xdr:rowOff>168275</xdr:rowOff>
    </xdr:to>
    <xdr:sp macro="[0]!SelectBarterOffer" textlink="">
      <xdr:nvSpPr>
        <xdr:cNvPr id="749" name="BarterBtn_3_331_1" descr="6|331|1">
          <a:extLst>
            <a:ext uri="{FF2B5EF4-FFF2-40B4-BE49-F238E27FC236}">
              <a16:creationId xmlns:a16="http://schemas.microsoft.com/office/drawing/2014/main" id="{447073F3-0DCF-ECD9-8FB7-EBB14D19D558}"/>
            </a:ext>
          </a:extLst>
        </xdr:cNvPr>
        <xdr:cNvSpPr/>
      </xdr:nvSpPr>
      <xdr:spPr>
        <a:xfrm>
          <a:off x="5956300" y="129743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330</xdr:row>
      <xdr:rowOff>12700</xdr:rowOff>
    </xdr:from>
    <xdr:to>
      <xdr:col>10</xdr:col>
      <xdr:colOff>673100</xdr:colOff>
      <xdr:row>330</xdr:row>
      <xdr:rowOff>168275</xdr:rowOff>
    </xdr:to>
    <xdr:sp macro="[0]!SelectBarterOffer" textlink="">
      <xdr:nvSpPr>
        <xdr:cNvPr id="750" name="BarterBtn_3_331_2" descr="6|331|2">
          <a:extLst>
            <a:ext uri="{FF2B5EF4-FFF2-40B4-BE49-F238E27FC236}">
              <a16:creationId xmlns:a16="http://schemas.microsoft.com/office/drawing/2014/main" id="{78928574-6B0B-D673-69A7-45FEF351E748}"/>
            </a:ext>
          </a:extLst>
        </xdr:cNvPr>
        <xdr:cNvSpPr/>
      </xdr:nvSpPr>
      <xdr:spPr>
        <a:xfrm>
          <a:off x="8013700" y="129743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337</xdr:row>
      <xdr:rowOff>12700</xdr:rowOff>
    </xdr:from>
    <xdr:to>
      <xdr:col>7</xdr:col>
      <xdr:colOff>673100</xdr:colOff>
      <xdr:row>337</xdr:row>
      <xdr:rowOff>168275</xdr:rowOff>
    </xdr:to>
    <xdr:sp macro="[0]!SelectBarterOffer" textlink="">
      <xdr:nvSpPr>
        <xdr:cNvPr id="751" name="BarterBtn_3_338_1" descr="6|338|1">
          <a:extLst>
            <a:ext uri="{FF2B5EF4-FFF2-40B4-BE49-F238E27FC236}">
              <a16:creationId xmlns:a16="http://schemas.microsoft.com/office/drawing/2014/main" id="{C510178C-DC05-6E0B-55FE-8561EC74AE95}"/>
            </a:ext>
          </a:extLst>
        </xdr:cNvPr>
        <xdr:cNvSpPr/>
      </xdr:nvSpPr>
      <xdr:spPr>
        <a:xfrm>
          <a:off x="5956300" y="132495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337</xdr:row>
      <xdr:rowOff>12700</xdr:rowOff>
    </xdr:from>
    <xdr:to>
      <xdr:col>10</xdr:col>
      <xdr:colOff>673100</xdr:colOff>
      <xdr:row>337</xdr:row>
      <xdr:rowOff>168275</xdr:rowOff>
    </xdr:to>
    <xdr:sp macro="[0]!SelectBarterOffer" textlink="">
      <xdr:nvSpPr>
        <xdr:cNvPr id="752" name="BarterBtn_3_338_2" descr="6|338|2">
          <a:extLst>
            <a:ext uri="{FF2B5EF4-FFF2-40B4-BE49-F238E27FC236}">
              <a16:creationId xmlns:a16="http://schemas.microsoft.com/office/drawing/2014/main" id="{6613202E-41CD-98EB-105E-9428913ABA54}"/>
            </a:ext>
          </a:extLst>
        </xdr:cNvPr>
        <xdr:cNvSpPr/>
      </xdr:nvSpPr>
      <xdr:spPr>
        <a:xfrm>
          <a:off x="8013700" y="132495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344</xdr:row>
      <xdr:rowOff>12700</xdr:rowOff>
    </xdr:from>
    <xdr:to>
      <xdr:col>7</xdr:col>
      <xdr:colOff>673100</xdr:colOff>
      <xdr:row>344</xdr:row>
      <xdr:rowOff>168275</xdr:rowOff>
    </xdr:to>
    <xdr:sp macro="[0]!SelectBarterOffer" textlink="">
      <xdr:nvSpPr>
        <xdr:cNvPr id="753" name="BarterBtn_3_345_1" descr="6|345|1">
          <a:extLst>
            <a:ext uri="{FF2B5EF4-FFF2-40B4-BE49-F238E27FC236}">
              <a16:creationId xmlns:a16="http://schemas.microsoft.com/office/drawing/2014/main" id="{5922D956-28A0-D511-A995-77F0E14D4512}"/>
            </a:ext>
          </a:extLst>
        </xdr:cNvPr>
        <xdr:cNvSpPr/>
      </xdr:nvSpPr>
      <xdr:spPr>
        <a:xfrm>
          <a:off x="5956300" y="135248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344</xdr:row>
      <xdr:rowOff>12700</xdr:rowOff>
    </xdr:from>
    <xdr:to>
      <xdr:col>10</xdr:col>
      <xdr:colOff>673100</xdr:colOff>
      <xdr:row>344</xdr:row>
      <xdr:rowOff>168275</xdr:rowOff>
    </xdr:to>
    <xdr:sp macro="[0]!SelectBarterOffer" textlink="">
      <xdr:nvSpPr>
        <xdr:cNvPr id="754" name="BarterBtn_3_345_2" descr="6|345|2">
          <a:extLst>
            <a:ext uri="{FF2B5EF4-FFF2-40B4-BE49-F238E27FC236}">
              <a16:creationId xmlns:a16="http://schemas.microsoft.com/office/drawing/2014/main" id="{C97E502B-00F9-0DFD-58C3-2A78942260CF}"/>
            </a:ext>
          </a:extLst>
        </xdr:cNvPr>
        <xdr:cNvSpPr/>
      </xdr:nvSpPr>
      <xdr:spPr>
        <a:xfrm>
          <a:off x="8013700" y="135248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351</xdr:row>
      <xdr:rowOff>12700</xdr:rowOff>
    </xdr:from>
    <xdr:to>
      <xdr:col>7</xdr:col>
      <xdr:colOff>673100</xdr:colOff>
      <xdr:row>351</xdr:row>
      <xdr:rowOff>168275</xdr:rowOff>
    </xdr:to>
    <xdr:sp macro="[0]!SelectBarterOffer" textlink="">
      <xdr:nvSpPr>
        <xdr:cNvPr id="755" name="BarterBtn_3_352_1" descr="6|352|1">
          <a:extLst>
            <a:ext uri="{FF2B5EF4-FFF2-40B4-BE49-F238E27FC236}">
              <a16:creationId xmlns:a16="http://schemas.microsoft.com/office/drawing/2014/main" id="{DCECB993-488A-0DE2-8D23-B1A85BD7EF6D}"/>
            </a:ext>
          </a:extLst>
        </xdr:cNvPr>
        <xdr:cNvSpPr/>
      </xdr:nvSpPr>
      <xdr:spPr>
        <a:xfrm>
          <a:off x="5956300" y="138001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351</xdr:row>
      <xdr:rowOff>12700</xdr:rowOff>
    </xdr:from>
    <xdr:to>
      <xdr:col>10</xdr:col>
      <xdr:colOff>673100</xdr:colOff>
      <xdr:row>351</xdr:row>
      <xdr:rowOff>168275</xdr:rowOff>
    </xdr:to>
    <xdr:sp macro="[0]!SelectBarterOffer" textlink="">
      <xdr:nvSpPr>
        <xdr:cNvPr id="756" name="BarterBtn_3_352_2" descr="6|352|2">
          <a:extLst>
            <a:ext uri="{FF2B5EF4-FFF2-40B4-BE49-F238E27FC236}">
              <a16:creationId xmlns:a16="http://schemas.microsoft.com/office/drawing/2014/main" id="{9C7CA505-76D1-8D56-90FD-DB142EF1E502}"/>
            </a:ext>
          </a:extLst>
        </xdr:cNvPr>
        <xdr:cNvSpPr/>
      </xdr:nvSpPr>
      <xdr:spPr>
        <a:xfrm>
          <a:off x="8013700" y="138001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358</xdr:row>
      <xdr:rowOff>12700</xdr:rowOff>
    </xdr:from>
    <xdr:to>
      <xdr:col>7</xdr:col>
      <xdr:colOff>673100</xdr:colOff>
      <xdr:row>358</xdr:row>
      <xdr:rowOff>168275</xdr:rowOff>
    </xdr:to>
    <xdr:sp macro="[0]!SelectBarterOffer" textlink="">
      <xdr:nvSpPr>
        <xdr:cNvPr id="757" name="BarterBtn_3_359_1" descr="6|359|1">
          <a:extLst>
            <a:ext uri="{FF2B5EF4-FFF2-40B4-BE49-F238E27FC236}">
              <a16:creationId xmlns:a16="http://schemas.microsoft.com/office/drawing/2014/main" id="{9AFC82B0-432A-0B7B-71F6-FBFA77B0AA22}"/>
            </a:ext>
          </a:extLst>
        </xdr:cNvPr>
        <xdr:cNvSpPr/>
      </xdr:nvSpPr>
      <xdr:spPr>
        <a:xfrm>
          <a:off x="5956300" y="140754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358</xdr:row>
      <xdr:rowOff>12700</xdr:rowOff>
    </xdr:from>
    <xdr:to>
      <xdr:col>10</xdr:col>
      <xdr:colOff>673100</xdr:colOff>
      <xdr:row>358</xdr:row>
      <xdr:rowOff>168275</xdr:rowOff>
    </xdr:to>
    <xdr:sp macro="[0]!SelectBarterOffer" textlink="">
      <xdr:nvSpPr>
        <xdr:cNvPr id="758" name="BarterBtn_3_359_2" descr="6|359|2">
          <a:extLst>
            <a:ext uri="{FF2B5EF4-FFF2-40B4-BE49-F238E27FC236}">
              <a16:creationId xmlns:a16="http://schemas.microsoft.com/office/drawing/2014/main" id="{0ED318E6-DC6B-7A5D-2771-014CC07938E1}"/>
            </a:ext>
          </a:extLst>
        </xdr:cNvPr>
        <xdr:cNvSpPr/>
      </xdr:nvSpPr>
      <xdr:spPr>
        <a:xfrm>
          <a:off x="8013700" y="140754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365</xdr:row>
      <xdr:rowOff>12700</xdr:rowOff>
    </xdr:from>
    <xdr:to>
      <xdr:col>7</xdr:col>
      <xdr:colOff>673100</xdr:colOff>
      <xdr:row>365</xdr:row>
      <xdr:rowOff>168275</xdr:rowOff>
    </xdr:to>
    <xdr:sp macro="[0]!SelectBarterOffer" textlink="">
      <xdr:nvSpPr>
        <xdr:cNvPr id="759" name="BarterBtn_3_366_1" descr="6|366|1">
          <a:extLst>
            <a:ext uri="{FF2B5EF4-FFF2-40B4-BE49-F238E27FC236}">
              <a16:creationId xmlns:a16="http://schemas.microsoft.com/office/drawing/2014/main" id="{F3CC66DB-0857-D737-2FBC-BA31CFE74740}"/>
            </a:ext>
          </a:extLst>
        </xdr:cNvPr>
        <xdr:cNvSpPr/>
      </xdr:nvSpPr>
      <xdr:spPr>
        <a:xfrm>
          <a:off x="5956300" y="143506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372</xdr:row>
      <xdr:rowOff>12700</xdr:rowOff>
    </xdr:from>
    <xdr:to>
      <xdr:col>7</xdr:col>
      <xdr:colOff>673100</xdr:colOff>
      <xdr:row>372</xdr:row>
      <xdr:rowOff>168275</xdr:rowOff>
    </xdr:to>
    <xdr:sp macro="[0]!SelectBarterOffer" textlink="">
      <xdr:nvSpPr>
        <xdr:cNvPr id="760" name="BarterBtn_3_373_1" descr="6|373|1">
          <a:extLst>
            <a:ext uri="{FF2B5EF4-FFF2-40B4-BE49-F238E27FC236}">
              <a16:creationId xmlns:a16="http://schemas.microsoft.com/office/drawing/2014/main" id="{87BD8F68-DC22-F0A3-5A77-52A0F769B6E3}"/>
            </a:ext>
          </a:extLst>
        </xdr:cNvPr>
        <xdr:cNvSpPr/>
      </xdr:nvSpPr>
      <xdr:spPr>
        <a:xfrm>
          <a:off x="5956300" y="146259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379</xdr:row>
      <xdr:rowOff>12700</xdr:rowOff>
    </xdr:from>
    <xdr:to>
      <xdr:col>7</xdr:col>
      <xdr:colOff>673100</xdr:colOff>
      <xdr:row>379</xdr:row>
      <xdr:rowOff>168275</xdr:rowOff>
    </xdr:to>
    <xdr:sp macro="[0]!SelectBarterOffer" textlink="">
      <xdr:nvSpPr>
        <xdr:cNvPr id="761" name="BarterBtn_3_380_1" descr="6|380|1">
          <a:extLst>
            <a:ext uri="{FF2B5EF4-FFF2-40B4-BE49-F238E27FC236}">
              <a16:creationId xmlns:a16="http://schemas.microsoft.com/office/drawing/2014/main" id="{9AB3872D-E09A-F2EC-6C77-51015DC8E4C9}"/>
            </a:ext>
          </a:extLst>
        </xdr:cNvPr>
        <xdr:cNvSpPr/>
      </xdr:nvSpPr>
      <xdr:spPr>
        <a:xfrm>
          <a:off x="5956300" y="149012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379</xdr:row>
      <xdr:rowOff>12700</xdr:rowOff>
    </xdr:from>
    <xdr:to>
      <xdr:col>10</xdr:col>
      <xdr:colOff>673100</xdr:colOff>
      <xdr:row>379</xdr:row>
      <xdr:rowOff>168275</xdr:rowOff>
    </xdr:to>
    <xdr:sp macro="[0]!SelectBarterOffer" textlink="">
      <xdr:nvSpPr>
        <xdr:cNvPr id="762" name="BarterBtn_3_380_2" descr="6|380|2">
          <a:extLst>
            <a:ext uri="{FF2B5EF4-FFF2-40B4-BE49-F238E27FC236}">
              <a16:creationId xmlns:a16="http://schemas.microsoft.com/office/drawing/2014/main" id="{FBD26880-6981-0FD2-7BC8-FC45F3FFF4C5}"/>
            </a:ext>
          </a:extLst>
        </xdr:cNvPr>
        <xdr:cNvSpPr/>
      </xdr:nvSpPr>
      <xdr:spPr>
        <a:xfrm>
          <a:off x="8013700" y="149012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386</xdr:row>
      <xdr:rowOff>12700</xdr:rowOff>
    </xdr:from>
    <xdr:to>
      <xdr:col>7</xdr:col>
      <xdr:colOff>673100</xdr:colOff>
      <xdr:row>386</xdr:row>
      <xdr:rowOff>168275</xdr:rowOff>
    </xdr:to>
    <xdr:sp macro="[0]!SelectBarterOffer" textlink="">
      <xdr:nvSpPr>
        <xdr:cNvPr id="763" name="BarterBtn_3_387_1" descr="6|387|1">
          <a:extLst>
            <a:ext uri="{FF2B5EF4-FFF2-40B4-BE49-F238E27FC236}">
              <a16:creationId xmlns:a16="http://schemas.microsoft.com/office/drawing/2014/main" id="{0634FF2C-DBF3-3874-7980-9CD37A6BA977}"/>
            </a:ext>
          </a:extLst>
        </xdr:cNvPr>
        <xdr:cNvSpPr/>
      </xdr:nvSpPr>
      <xdr:spPr>
        <a:xfrm>
          <a:off x="5956300" y="151765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393</xdr:row>
      <xdr:rowOff>12700</xdr:rowOff>
    </xdr:from>
    <xdr:to>
      <xdr:col>7</xdr:col>
      <xdr:colOff>673100</xdr:colOff>
      <xdr:row>393</xdr:row>
      <xdr:rowOff>168275</xdr:rowOff>
    </xdr:to>
    <xdr:sp macro="[0]!SelectBarterOffer" textlink="">
      <xdr:nvSpPr>
        <xdr:cNvPr id="764" name="BarterBtn_3_394_1" descr="6|394|1">
          <a:extLst>
            <a:ext uri="{FF2B5EF4-FFF2-40B4-BE49-F238E27FC236}">
              <a16:creationId xmlns:a16="http://schemas.microsoft.com/office/drawing/2014/main" id="{6A8C3F7C-AB06-AC40-FA40-755232DD8F7F}"/>
            </a:ext>
          </a:extLst>
        </xdr:cNvPr>
        <xdr:cNvSpPr/>
      </xdr:nvSpPr>
      <xdr:spPr>
        <a:xfrm>
          <a:off x="5956300" y="154517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0</xdr:col>
      <xdr:colOff>50800</xdr:colOff>
      <xdr:row>401</xdr:row>
      <xdr:rowOff>25400</xdr:rowOff>
    </xdr:from>
    <xdr:to>
      <xdr:col>16</xdr:col>
      <xdr:colOff>635000</xdr:colOff>
      <xdr:row>401</xdr:row>
      <xdr:rowOff>558800</xdr:rowOff>
    </xdr:to>
    <xdr:sp macro="" textlink="">
      <xdr:nvSpPr>
        <xdr:cNvPr id="200" name="HofrinWatermark_3" descr="Made by Hofrin">
          <a:extLst>
            <a:ext uri="{FF2B5EF4-FFF2-40B4-BE49-F238E27FC236}">
              <a16:creationId xmlns:a16="http://schemas.microsoft.com/office/drawing/2014/main" id="{CE78F1D7-CFF9-C91C-7962-25F15F4FDB1B}"/>
            </a:ext>
          </a:extLst>
        </xdr:cNvPr>
        <xdr:cNvSpPr txBox="1"/>
      </xdr:nvSpPr>
      <xdr:spPr>
        <a:xfrm>
          <a:off x="50800" y="157464125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50800</xdr:colOff>
      <xdr:row>401</xdr:row>
      <xdr:rowOff>25400</xdr:rowOff>
    </xdr:from>
    <xdr:to>
      <xdr:col>16</xdr:col>
      <xdr:colOff>635000</xdr:colOff>
      <xdr:row>401</xdr:row>
      <xdr:rowOff>558800</xdr:rowOff>
    </xdr:to>
    <xdr:sp macro="" textlink="">
      <xdr:nvSpPr>
        <xdr:cNvPr id="216" name="HofrinWatermark_6" descr="Made by Hofrin">
          <a:extLst>
            <a:ext uri="{FF2B5EF4-FFF2-40B4-BE49-F238E27FC236}">
              <a16:creationId xmlns:a16="http://schemas.microsoft.com/office/drawing/2014/main" id="{047EE8CB-41B8-8D7A-A87E-FF656F14ECA5}"/>
            </a:ext>
          </a:extLst>
        </xdr:cNvPr>
        <xdr:cNvSpPr txBox="1"/>
      </xdr:nvSpPr>
      <xdr:spPr>
        <a:xfrm>
          <a:off x="50800" y="157464125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1</xdr:row>
      <xdr:rowOff>428625</xdr:rowOff>
    </xdr:from>
    <xdr:ext cx="1438275" cy="1438275"/>
    <xdr:pic>
      <xdr:nvPicPr>
        <xdr:cNvPr id="2" name="/xl/media/image429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19050</xdr:rowOff>
    </xdr:from>
    <xdr:ext cx="647700" cy="647700"/>
    <xdr:pic>
      <xdr:nvPicPr>
        <xdr:cNvPr id="3" name="/xl/media/image430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</xdr:row>
      <xdr:rowOff>9525</xdr:rowOff>
    </xdr:from>
    <xdr:ext cx="571500" cy="571500"/>
    <xdr:pic>
      <xdr:nvPicPr>
        <xdr:cNvPr id="4" name="/xl/media/image431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</xdr:row>
      <xdr:rowOff>9525</xdr:rowOff>
    </xdr:from>
    <xdr:ext cx="571500" cy="571500"/>
    <xdr:pic>
      <xdr:nvPicPr>
        <xdr:cNvPr id="5" name="/xl/media/image432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</xdr:row>
      <xdr:rowOff>9525</xdr:rowOff>
    </xdr:from>
    <xdr:ext cx="571500" cy="571500"/>
    <xdr:pic>
      <xdr:nvPicPr>
        <xdr:cNvPr id="6" name="/xl/media/image433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</xdr:row>
      <xdr:rowOff>9525</xdr:rowOff>
    </xdr:from>
    <xdr:ext cx="571500" cy="571500"/>
    <xdr:pic>
      <xdr:nvPicPr>
        <xdr:cNvPr id="7" name="/xl/media/image434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</xdr:row>
      <xdr:rowOff>9525</xdr:rowOff>
    </xdr:from>
    <xdr:ext cx="571500" cy="571500"/>
    <xdr:pic>
      <xdr:nvPicPr>
        <xdr:cNvPr id="8" name="/xl/media/image435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</xdr:row>
      <xdr:rowOff>9525</xdr:rowOff>
    </xdr:from>
    <xdr:ext cx="571500" cy="571500"/>
    <xdr:pic>
      <xdr:nvPicPr>
        <xdr:cNvPr id="9" name="/xl/media/image436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19050</xdr:rowOff>
    </xdr:from>
    <xdr:ext cx="647700" cy="647700"/>
    <xdr:pic>
      <xdr:nvPicPr>
        <xdr:cNvPr id="10" name="/xl/media/image437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3</xdr:row>
      <xdr:rowOff>9525</xdr:rowOff>
    </xdr:from>
    <xdr:ext cx="571500" cy="571500"/>
    <xdr:pic>
      <xdr:nvPicPr>
        <xdr:cNvPr id="11" name="/xl/media/image431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3</xdr:row>
      <xdr:rowOff>9525</xdr:rowOff>
    </xdr:from>
    <xdr:ext cx="571500" cy="571500"/>
    <xdr:pic>
      <xdr:nvPicPr>
        <xdr:cNvPr id="12" name="/xl/media/image432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3</xdr:row>
      <xdr:rowOff>9525</xdr:rowOff>
    </xdr:from>
    <xdr:ext cx="571500" cy="571500"/>
    <xdr:pic>
      <xdr:nvPicPr>
        <xdr:cNvPr id="13" name="/xl/media/image433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</xdr:row>
      <xdr:rowOff>9525</xdr:rowOff>
    </xdr:from>
    <xdr:ext cx="571500" cy="571500"/>
    <xdr:pic>
      <xdr:nvPicPr>
        <xdr:cNvPr id="14" name="/xl/media/image434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</xdr:row>
      <xdr:rowOff>9525</xdr:rowOff>
    </xdr:from>
    <xdr:ext cx="571500" cy="571500"/>
    <xdr:pic>
      <xdr:nvPicPr>
        <xdr:cNvPr id="15" name="/xl/media/image435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</xdr:row>
      <xdr:rowOff>9525</xdr:rowOff>
    </xdr:from>
    <xdr:ext cx="571500" cy="571500"/>
    <xdr:pic>
      <xdr:nvPicPr>
        <xdr:cNvPr id="16" name="/xl/media/image436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428625</xdr:rowOff>
    </xdr:from>
    <xdr:ext cx="1438275" cy="1438275"/>
    <xdr:pic>
      <xdr:nvPicPr>
        <xdr:cNvPr id="17" name="/xl/media/image438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</xdr:row>
      <xdr:rowOff>19050</xdr:rowOff>
    </xdr:from>
    <xdr:ext cx="647700" cy="647700"/>
    <xdr:pic>
      <xdr:nvPicPr>
        <xdr:cNvPr id="18" name="/xl/media/image439.png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</xdr:row>
      <xdr:rowOff>9525</xdr:rowOff>
    </xdr:from>
    <xdr:ext cx="571500" cy="571500"/>
    <xdr:pic>
      <xdr:nvPicPr>
        <xdr:cNvPr id="19" name="/xl/media/image431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</xdr:row>
      <xdr:rowOff>9525</xdr:rowOff>
    </xdr:from>
    <xdr:ext cx="571500" cy="571500"/>
    <xdr:pic>
      <xdr:nvPicPr>
        <xdr:cNvPr id="20" name="/xl/media/image432.png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</xdr:row>
      <xdr:rowOff>9525</xdr:rowOff>
    </xdr:from>
    <xdr:ext cx="571500" cy="571500"/>
    <xdr:pic>
      <xdr:nvPicPr>
        <xdr:cNvPr id="21" name="/xl/media/image433.png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</xdr:row>
      <xdr:rowOff>9525</xdr:rowOff>
    </xdr:from>
    <xdr:ext cx="571500" cy="571500"/>
    <xdr:pic>
      <xdr:nvPicPr>
        <xdr:cNvPr id="22" name="/xl/media/image434.png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</xdr:row>
      <xdr:rowOff>9525</xdr:rowOff>
    </xdr:from>
    <xdr:ext cx="571500" cy="571500"/>
    <xdr:pic>
      <xdr:nvPicPr>
        <xdr:cNvPr id="23" name="/xl/media/image435.png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</xdr:row>
      <xdr:rowOff>9525</xdr:rowOff>
    </xdr:from>
    <xdr:ext cx="571500" cy="571500"/>
    <xdr:pic>
      <xdr:nvPicPr>
        <xdr:cNvPr id="24" name="/xl/media/image436.png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</xdr:row>
      <xdr:rowOff>428625</xdr:rowOff>
    </xdr:from>
    <xdr:ext cx="1438275" cy="1438275"/>
    <xdr:pic>
      <xdr:nvPicPr>
        <xdr:cNvPr id="25" name="/xl/media/image440.png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16</xdr:row>
      <xdr:rowOff>19050</xdr:rowOff>
    </xdr:from>
    <xdr:ext cx="647700" cy="647700"/>
    <xdr:pic>
      <xdr:nvPicPr>
        <xdr:cNvPr id="26" name="/xl/media/image441.png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</xdr:row>
      <xdr:rowOff>9525</xdr:rowOff>
    </xdr:from>
    <xdr:ext cx="571500" cy="571500"/>
    <xdr:pic>
      <xdr:nvPicPr>
        <xdr:cNvPr id="27" name="/xl/media/image431.png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</xdr:row>
      <xdr:rowOff>9525</xdr:rowOff>
    </xdr:from>
    <xdr:ext cx="571500" cy="571500"/>
    <xdr:pic>
      <xdr:nvPicPr>
        <xdr:cNvPr id="28" name="/xl/media/image432.png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</xdr:row>
      <xdr:rowOff>9525</xdr:rowOff>
    </xdr:from>
    <xdr:ext cx="571500" cy="571500"/>
    <xdr:pic>
      <xdr:nvPicPr>
        <xdr:cNvPr id="29" name="/xl/media/image433.png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</xdr:row>
      <xdr:rowOff>9525</xdr:rowOff>
    </xdr:from>
    <xdr:ext cx="571500" cy="571500"/>
    <xdr:pic>
      <xdr:nvPicPr>
        <xdr:cNvPr id="30" name="/xl/media/image434.pn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</xdr:row>
      <xdr:rowOff>9525</xdr:rowOff>
    </xdr:from>
    <xdr:ext cx="571500" cy="571500"/>
    <xdr:pic>
      <xdr:nvPicPr>
        <xdr:cNvPr id="31" name="/xl/media/image435.png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</xdr:row>
      <xdr:rowOff>9525</xdr:rowOff>
    </xdr:from>
    <xdr:ext cx="571500" cy="571500"/>
    <xdr:pic>
      <xdr:nvPicPr>
        <xdr:cNvPr id="32" name="/xl/media/image436.png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16</xdr:row>
      <xdr:rowOff>19050</xdr:rowOff>
    </xdr:from>
    <xdr:ext cx="647700" cy="647700"/>
    <xdr:pic>
      <xdr:nvPicPr>
        <xdr:cNvPr id="33" name="/xl/media/image437.png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</xdr:row>
      <xdr:rowOff>9525</xdr:rowOff>
    </xdr:from>
    <xdr:ext cx="571500" cy="571500"/>
    <xdr:pic>
      <xdr:nvPicPr>
        <xdr:cNvPr id="34" name="/xl/media/image431.png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</xdr:row>
      <xdr:rowOff>9525</xdr:rowOff>
    </xdr:from>
    <xdr:ext cx="571500" cy="571500"/>
    <xdr:pic>
      <xdr:nvPicPr>
        <xdr:cNvPr id="35" name="/xl/media/image432.png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</xdr:row>
      <xdr:rowOff>9525</xdr:rowOff>
    </xdr:from>
    <xdr:ext cx="571500" cy="571500"/>
    <xdr:pic>
      <xdr:nvPicPr>
        <xdr:cNvPr id="36" name="/xl/media/image433.png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</xdr:row>
      <xdr:rowOff>9525</xdr:rowOff>
    </xdr:from>
    <xdr:ext cx="571500" cy="571500"/>
    <xdr:pic>
      <xdr:nvPicPr>
        <xdr:cNvPr id="37" name="/xl/media/image434.png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</xdr:row>
      <xdr:rowOff>9525</xdr:rowOff>
    </xdr:from>
    <xdr:ext cx="571500" cy="571500"/>
    <xdr:pic>
      <xdr:nvPicPr>
        <xdr:cNvPr id="38" name="/xl/media/image435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</xdr:row>
      <xdr:rowOff>9525</xdr:rowOff>
    </xdr:from>
    <xdr:ext cx="571500" cy="571500"/>
    <xdr:pic>
      <xdr:nvPicPr>
        <xdr:cNvPr id="39" name="/xl/media/image436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</xdr:row>
      <xdr:rowOff>428625</xdr:rowOff>
    </xdr:from>
    <xdr:ext cx="1438275" cy="1438275"/>
    <xdr:pic>
      <xdr:nvPicPr>
        <xdr:cNvPr id="40" name="/xl/media/image442.png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</xdr:row>
      <xdr:rowOff>19050</xdr:rowOff>
    </xdr:from>
    <xdr:ext cx="647700" cy="647700"/>
    <xdr:pic>
      <xdr:nvPicPr>
        <xdr:cNvPr id="41" name="/xl/media/image443.png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</xdr:row>
      <xdr:rowOff>9525</xdr:rowOff>
    </xdr:from>
    <xdr:ext cx="571500" cy="571500"/>
    <xdr:pic>
      <xdr:nvPicPr>
        <xdr:cNvPr id="42" name="/xl/media/image431.png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</xdr:row>
      <xdr:rowOff>9525</xdr:rowOff>
    </xdr:from>
    <xdr:ext cx="571500" cy="571500"/>
    <xdr:pic>
      <xdr:nvPicPr>
        <xdr:cNvPr id="43" name="/xl/media/image432.png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</xdr:row>
      <xdr:rowOff>9525</xdr:rowOff>
    </xdr:from>
    <xdr:ext cx="571500" cy="571500"/>
    <xdr:pic>
      <xdr:nvPicPr>
        <xdr:cNvPr id="44" name="/xl/media/image433.png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</xdr:row>
      <xdr:rowOff>9525</xdr:rowOff>
    </xdr:from>
    <xdr:ext cx="571500" cy="571500"/>
    <xdr:pic>
      <xdr:nvPicPr>
        <xdr:cNvPr id="45" name="/xl/media/image434.png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</xdr:row>
      <xdr:rowOff>9525</xdr:rowOff>
    </xdr:from>
    <xdr:ext cx="571500" cy="571500"/>
    <xdr:pic>
      <xdr:nvPicPr>
        <xdr:cNvPr id="46" name="/xl/media/image435.png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</xdr:row>
      <xdr:rowOff>9525</xdr:rowOff>
    </xdr:from>
    <xdr:ext cx="571500" cy="571500"/>
    <xdr:pic>
      <xdr:nvPicPr>
        <xdr:cNvPr id="47" name="/xl/media/image436.png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</xdr:row>
      <xdr:rowOff>428625</xdr:rowOff>
    </xdr:from>
    <xdr:ext cx="1438275" cy="1438275"/>
    <xdr:pic>
      <xdr:nvPicPr>
        <xdr:cNvPr id="48" name="/xl/media/image444.png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</xdr:row>
      <xdr:rowOff>19050</xdr:rowOff>
    </xdr:from>
    <xdr:ext cx="647700" cy="647700"/>
    <xdr:pic>
      <xdr:nvPicPr>
        <xdr:cNvPr id="49" name="/xl/media/image445.png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</xdr:row>
      <xdr:rowOff>9525</xdr:rowOff>
    </xdr:from>
    <xdr:ext cx="571500" cy="571500"/>
    <xdr:pic>
      <xdr:nvPicPr>
        <xdr:cNvPr id="50" name="/xl/media/image431.png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</xdr:row>
      <xdr:rowOff>9525</xdr:rowOff>
    </xdr:from>
    <xdr:ext cx="571500" cy="571500"/>
    <xdr:pic>
      <xdr:nvPicPr>
        <xdr:cNvPr id="51" name="/xl/media/image432.png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</xdr:row>
      <xdr:rowOff>9525</xdr:rowOff>
    </xdr:from>
    <xdr:ext cx="571500" cy="571500"/>
    <xdr:pic>
      <xdr:nvPicPr>
        <xdr:cNvPr id="52" name="/xl/media/image433.png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</xdr:row>
      <xdr:rowOff>9525</xdr:rowOff>
    </xdr:from>
    <xdr:ext cx="571500" cy="571500"/>
    <xdr:pic>
      <xdr:nvPicPr>
        <xdr:cNvPr id="53" name="/xl/media/image434.png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</xdr:row>
      <xdr:rowOff>9525</xdr:rowOff>
    </xdr:from>
    <xdr:ext cx="571500" cy="571500"/>
    <xdr:pic>
      <xdr:nvPicPr>
        <xdr:cNvPr id="54" name="/xl/media/image435.png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</xdr:row>
      <xdr:rowOff>9525</xdr:rowOff>
    </xdr:from>
    <xdr:ext cx="571500" cy="571500"/>
    <xdr:pic>
      <xdr:nvPicPr>
        <xdr:cNvPr id="55" name="/xl/media/image436.png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</xdr:row>
      <xdr:rowOff>428625</xdr:rowOff>
    </xdr:from>
    <xdr:ext cx="1438275" cy="1438275"/>
    <xdr:pic>
      <xdr:nvPicPr>
        <xdr:cNvPr id="56" name="/xl/media/image446.png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</xdr:row>
      <xdr:rowOff>19050</xdr:rowOff>
    </xdr:from>
    <xdr:ext cx="647700" cy="647700"/>
    <xdr:pic>
      <xdr:nvPicPr>
        <xdr:cNvPr id="57" name="/xl/media/image447.png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</xdr:row>
      <xdr:rowOff>9525</xdr:rowOff>
    </xdr:from>
    <xdr:ext cx="571500" cy="571500"/>
    <xdr:pic>
      <xdr:nvPicPr>
        <xdr:cNvPr id="58" name="/xl/media/image431.png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</xdr:row>
      <xdr:rowOff>9525</xdr:rowOff>
    </xdr:from>
    <xdr:ext cx="571500" cy="571500"/>
    <xdr:pic>
      <xdr:nvPicPr>
        <xdr:cNvPr id="59" name="/xl/media/image432.png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</xdr:row>
      <xdr:rowOff>9525</xdr:rowOff>
    </xdr:from>
    <xdr:ext cx="571500" cy="571500"/>
    <xdr:pic>
      <xdr:nvPicPr>
        <xdr:cNvPr id="60" name="/xl/media/image433.png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</xdr:row>
      <xdr:rowOff>9525</xdr:rowOff>
    </xdr:from>
    <xdr:ext cx="571500" cy="571500"/>
    <xdr:pic>
      <xdr:nvPicPr>
        <xdr:cNvPr id="61" name="/xl/media/image434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</xdr:row>
      <xdr:rowOff>9525</xdr:rowOff>
    </xdr:from>
    <xdr:ext cx="571500" cy="571500"/>
    <xdr:pic>
      <xdr:nvPicPr>
        <xdr:cNvPr id="62" name="/xl/media/image435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</xdr:row>
      <xdr:rowOff>9525</xdr:rowOff>
    </xdr:from>
    <xdr:ext cx="571500" cy="571500"/>
    <xdr:pic>
      <xdr:nvPicPr>
        <xdr:cNvPr id="63" name="/xl/media/image436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</xdr:row>
      <xdr:rowOff>428625</xdr:rowOff>
    </xdr:from>
    <xdr:ext cx="1438275" cy="1438275"/>
    <xdr:pic>
      <xdr:nvPicPr>
        <xdr:cNvPr id="64" name="/xl/media/image448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44</xdr:row>
      <xdr:rowOff>19050</xdr:rowOff>
    </xdr:from>
    <xdr:ext cx="647700" cy="647700"/>
    <xdr:pic>
      <xdr:nvPicPr>
        <xdr:cNvPr id="65" name="/xl/media/image449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</xdr:row>
      <xdr:rowOff>9525</xdr:rowOff>
    </xdr:from>
    <xdr:ext cx="571500" cy="571500"/>
    <xdr:pic>
      <xdr:nvPicPr>
        <xdr:cNvPr id="66" name="/xl/media/image431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</xdr:row>
      <xdr:rowOff>9525</xdr:rowOff>
    </xdr:from>
    <xdr:ext cx="571500" cy="571500"/>
    <xdr:pic>
      <xdr:nvPicPr>
        <xdr:cNvPr id="67" name="/xl/media/image432.png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</xdr:row>
      <xdr:rowOff>9525</xdr:rowOff>
    </xdr:from>
    <xdr:ext cx="571500" cy="571500"/>
    <xdr:pic>
      <xdr:nvPicPr>
        <xdr:cNvPr id="68" name="/xl/media/image433.png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</xdr:row>
      <xdr:rowOff>9525</xdr:rowOff>
    </xdr:from>
    <xdr:ext cx="571500" cy="571500"/>
    <xdr:pic>
      <xdr:nvPicPr>
        <xdr:cNvPr id="69" name="/xl/media/image434.png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</xdr:row>
      <xdr:rowOff>9525</xdr:rowOff>
    </xdr:from>
    <xdr:ext cx="571500" cy="571500"/>
    <xdr:pic>
      <xdr:nvPicPr>
        <xdr:cNvPr id="70" name="/xl/media/image435.png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</xdr:row>
      <xdr:rowOff>9525</xdr:rowOff>
    </xdr:from>
    <xdr:ext cx="571500" cy="571500"/>
    <xdr:pic>
      <xdr:nvPicPr>
        <xdr:cNvPr id="71" name="/xl/media/image436.png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</xdr:row>
      <xdr:rowOff>428625</xdr:rowOff>
    </xdr:from>
    <xdr:ext cx="1438275" cy="1438275"/>
    <xdr:pic>
      <xdr:nvPicPr>
        <xdr:cNvPr id="72" name="/xl/media/image439.png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51</xdr:row>
      <xdr:rowOff>19050</xdr:rowOff>
    </xdr:from>
    <xdr:ext cx="647700" cy="647700"/>
    <xdr:pic>
      <xdr:nvPicPr>
        <xdr:cNvPr id="73" name="/xl/media/image450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</xdr:row>
      <xdr:rowOff>9525</xdr:rowOff>
    </xdr:from>
    <xdr:ext cx="571500" cy="571500"/>
    <xdr:pic>
      <xdr:nvPicPr>
        <xdr:cNvPr id="74" name="/xl/media/image431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</xdr:row>
      <xdr:rowOff>9525</xdr:rowOff>
    </xdr:from>
    <xdr:ext cx="571500" cy="571500"/>
    <xdr:pic>
      <xdr:nvPicPr>
        <xdr:cNvPr id="75" name="/xl/media/image432.png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</xdr:row>
      <xdr:rowOff>9525</xdr:rowOff>
    </xdr:from>
    <xdr:ext cx="571500" cy="571500"/>
    <xdr:pic>
      <xdr:nvPicPr>
        <xdr:cNvPr id="76" name="/xl/media/image433.png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</xdr:row>
      <xdr:rowOff>9525</xdr:rowOff>
    </xdr:from>
    <xdr:ext cx="571500" cy="571500"/>
    <xdr:pic>
      <xdr:nvPicPr>
        <xdr:cNvPr id="77" name="/xl/media/image434.png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51</xdr:row>
      <xdr:rowOff>19050</xdr:rowOff>
    </xdr:from>
    <xdr:ext cx="647700" cy="647700"/>
    <xdr:pic>
      <xdr:nvPicPr>
        <xdr:cNvPr id="78" name="/xl/media/image450.png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52</xdr:row>
      <xdr:rowOff>9525</xdr:rowOff>
    </xdr:from>
    <xdr:ext cx="571500" cy="571500"/>
    <xdr:pic>
      <xdr:nvPicPr>
        <xdr:cNvPr id="79" name="/xl/media/image451.png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52</xdr:row>
      <xdr:rowOff>9525</xdr:rowOff>
    </xdr:from>
    <xdr:ext cx="571500" cy="571500"/>
    <xdr:pic>
      <xdr:nvPicPr>
        <xdr:cNvPr id="80" name="/xl/media/image452.png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52</xdr:row>
      <xdr:rowOff>9525</xdr:rowOff>
    </xdr:from>
    <xdr:ext cx="571500" cy="571500"/>
    <xdr:pic>
      <xdr:nvPicPr>
        <xdr:cNvPr id="81" name="/xl/media/image453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54</xdr:row>
      <xdr:rowOff>9525</xdr:rowOff>
    </xdr:from>
    <xdr:ext cx="571500" cy="571500"/>
    <xdr:pic>
      <xdr:nvPicPr>
        <xdr:cNvPr id="82" name="/xl/media/image454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</xdr:row>
      <xdr:rowOff>428625</xdr:rowOff>
    </xdr:from>
    <xdr:ext cx="1438275" cy="1438275"/>
    <xdr:pic>
      <xdr:nvPicPr>
        <xdr:cNvPr id="83" name="/xl/media/image441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58</xdr:row>
      <xdr:rowOff>19050</xdr:rowOff>
    </xdr:from>
    <xdr:ext cx="647700" cy="647700"/>
    <xdr:pic>
      <xdr:nvPicPr>
        <xdr:cNvPr id="84" name="/xl/media/image455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</xdr:row>
      <xdr:rowOff>9525</xdr:rowOff>
    </xdr:from>
    <xdr:ext cx="571500" cy="571500"/>
    <xdr:pic>
      <xdr:nvPicPr>
        <xdr:cNvPr id="85" name="/xl/media/image431.png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</xdr:row>
      <xdr:rowOff>9525</xdr:rowOff>
    </xdr:from>
    <xdr:ext cx="571500" cy="571500"/>
    <xdr:pic>
      <xdr:nvPicPr>
        <xdr:cNvPr id="86" name="/xl/media/image432.png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</xdr:row>
      <xdr:rowOff>9525</xdr:rowOff>
    </xdr:from>
    <xdr:ext cx="571500" cy="571500"/>
    <xdr:pic>
      <xdr:nvPicPr>
        <xdr:cNvPr id="87" name="/xl/media/image433.png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</xdr:row>
      <xdr:rowOff>9525</xdr:rowOff>
    </xdr:from>
    <xdr:ext cx="571500" cy="571500"/>
    <xdr:pic>
      <xdr:nvPicPr>
        <xdr:cNvPr id="88" name="/xl/media/image434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58</xdr:row>
      <xdr:rowOff>19050</xdr:rowOff>
    </xdr:from>
    <xdr:ext cx="647700" cy="647700"/>
    <xdr:pic>
      <xdr:nvPicPr>
        <xdr:cNvPr id="89" name="/xl/media/image455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59</xdr:row>
      <xdr:rowOff>9525</xdr:rowOff>
    </xdr:from>
    <xdr:ext cx="571500" cy="571500"/>
    <xdr:pic>
      <xdr:nvPicPr>
        <xdr:cNvPr id="90" name="/xl/media/image451.png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59</xdr:row>
      <xdr:rowOff>9525</xdr:rowOff>
    </xdr:from>
    <xdr:ext cx="571500" cy="571500"/>
    <xdr:pic>
      <xdr:nvPicPr>
        <xdr:cNvPr id="91" name="/xl/media/image452.png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59</xdr:row>
      <xdr:rowOff>9525</xdr:rowOff>
    </xdr:from>
    <xdr:ext cx="571500" cy="571500"/>
    <xdr:pic>
      <xdr:nvPicPr>
        <xdr:cNvPr id="92" name="/xl/media/image453.png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61</xdr:row>
      <xdr:rowOff>9525</xdr:rowOff>
    </xdr:from>
    <xdr:ext cx="571500" cy="571500"/>
    <xdr:pic>
      <xdr:nvPicPr>
        <xdr:cNvPr id="93" name="/xl/media/image454.png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</xdr:row>
      <xdr:rowOff>428625</xdr:rowOff>
    </xdr:from>
    <xdr:ext cx="1438275" cy="1438275"/>
    <xdr:pic>
      <xdr:nvPicPr>
        <xdr:cNvPr id="94" name="/xl/media/image430.png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65</xdr:row>
      <xdr:rowOff>19050</xdr:rowOff>
    </xdr:from>
    <xdr:ext cx="647700" cy="647700"/>
    <xdr:pic>
      <xdr:nvPicPr>
        <xdr:cNvPr id="95" name="/xl/media/image456.png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</xdr:row>
      <xdr:rowOff>9525</xdr:rowOff>
    </xdr:from>
    <xdr:ext cx="571500" cy="571500"/>
    <xdr:pic>
      <xdr:nvPicPr>
        <xdr:cNvPr id="96" name="/xl/media/image431.png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</xdr:row>
      <xdr:rowOff>9525</xdr:rowOff>
    </xdr:from>
    <xdr:ext cx="571500" cy="571500"/>
    <xdr:pic>
      <xdr:nvPicPr>
        <xdr:cNvPr id="97" name="/xl/media/image432.png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</xdr:row>
      <xdr:rowOff>9525</xdr:rowOff>
    </xdr:from>
    <xdr:ext cx="571500" cy="571500"/>
    <xdr:pic>
      <xdr:nvPicPr>
        <xdr:cNvPr id="98" name="/xl/media/image433.png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</xdr:row>
      <xdr:rowOff>9525</xdr:rowOff>
    </xdr:from>
    <xdr:ext cx="571500" cy="571500"/>
    <xdr:pic>
      <xdr:nvPicPr>
        <xdr:cNvPr id="99" name="/xl/media/image434.png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65</xdr:row>
      <xdr:rowOff>19050</xdr:rowOff>
    </xdr:from>
    <xdr:ext cx="647700" cy="647700"/>
    <xdr:pic>
      <xdr:nvPicPr>
        <xdr:cNvPr id="100" name="/xl/media/image456.png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66</xdr:row>
      <xdr:rowOff>9525</xdr:rowOff>
    </xdr:from>
    <xdr:ext cx="571500" cy="571500"/>
    <xdr:pic>
      <xdr:nvPicPr>
        <xdr:cNvPr id="101" name="/xl/media/image451.png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66</xdr:row>
      <xdr:rowOff>9525</xdr:rowOff>
    </xdr:from>
    <xdr:ext cx="571500" cy="571500"/>
    <xdr:pic>
      <xdr:nvPicPr>
        <xdr:cNvPr id="102" name="/xl/media/image452.png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66</xdr:row>
      <xdr:rowOff>9525</xdr:rowOff>
    </xdr:from>
    <xdr:ext cx="571500" cy="571500"/>
    <xdr:pic>
      <xdr:nvPicPr>
        <xdr:cNvPr id="103" name="/xl/media/image453.png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</xdr:row>
      <xdr:rowOff>9525</xdr:rowOff>
    </xdr:from>
    <xdr:ext cx="571500" cy="571500"/>
    <xdr:pic>
      <xdr:nvPicPr>
        <xdr:cNvPr id="104" name="/xl/media/image454.png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</xdr:row>
      <xdr:rowOff>428625</xdr:rowOff>
    </xdr:from>
    <xdr:ext cx="1438275" cy="1438275"/>
    <xdr:pic>
      <xdr:nvPicPr>
        <xdr:cNvPr id="105" name="/xl/media/image445.png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72</xdr:row>
      <xdr:rowOff>19050</xdr:rowOff>
    </xdr:from>
    <xdr:ext cx="647700" cy="647700"/>
    <xdr:pic>
      <xdr:nvPicPr>
        <xdr:cNvPr id="106" name="/xl/media/image457.png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</xdr:row>
      <xdr:rowOff>9525</xdr:rowOff>
    </xdr:from>
    <xdr:ext cx="571500" cy="571500"/>
    <xdr:pic>
      <xdr:nvPicPr>
        <xdr:cNvPr id="107" name="/xl/media/image431.png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</xdr:row>
      <xdr:rowOff>9525</xdr:rowOff>
    </xdr:from>
    <xdr:ext cx="571500" cy="571500"/>
    <xdr:pic>
      <xdr:nvPicPr>
        <xdr:cNvPr id="108" name="/xl/media/image432.png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</xdr:row>
      <xdr:rowOff>9525</xdr:rowOff>
    </xdr:from>
    <xdr:ext cx="571500" cy="571500"/>
    <xdr:pic>
      <xdr:nvPicPr>
        <xdr:cNvPr id="109" name="/xl/media/image433.png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</xdr:row>
      <xdr:rowOff>9525</xdr:rowOff>
    </xdr:from>
    <xdr:ext cx="571500" cy="571500"/>
    <xdr:pic>
      <xdr:nvPicPr>
        <xdr:cNvPr id="110" name="/xl/media/image434.png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72</xdr:row>
      <xdr:rowOff>19050</xdr:rowOff>
    </xdr:from>
    <xdr:ext cx="647700" cy="647700"/>
    <xdr:pic>
      <xdr:nvPicPr>
        <xdr:cNvPr id="111" name="/xl/media/image457.png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</xdr:row>
      <xdr:rowOff>9525</xdr:rowOff>
    </xdr:from>
    <xdr:ext cx="571500" cy="571500"/>
    <xdr:pic>
      <xdr:nvPicPr>
        <xdr:cNvPr id="112" name="/xl/media/image451.png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</xdr:row>
      <xdr:rowOff>9525</xdr:rowOff>
    </xdr:from>
    <xdr:ext cx="571500" cy="571500"/>
    <xdr:pic>
      <xdr:nvPicPr>
        <xdr:cNvPr id="113" name="/xl/media/image452.png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73</xdr:row>
      <xdr:rowOff>9525</xdr:rowOff>
    </xdr:from>
    <xdr:ext cx="571500" cy="571500"/>
    <xdr:pic>
      <xdr:nvPicPr>
        <xdr:cNvPr id="114" name="/xl/media/image453.png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75</xdr:row>
      <xdr:rowOff>9525</xdr:rowOff>
    </xdr:from>
    <xdr:ext cx="571500" cy="571500"/>
    <xdr:pic>
      <xdr:nvPicPr>
        <xdr:cNvPr id="115" name="/xl/media/image454.png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</xdr:row>
      <xdr:rowOff>428625</xdr:rowOff>
    </xdr:from>
    <xdr:ext cx="1438275" cy="1438275"/>
    <xdr:pic>
      <xdr:nvPicPr>
        <xdr:cNvPr id="116" name="/xl/media/image443.png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79</xdr:row>
      <xdr:rowOff>19050</xdr:rowOff>
    </xdr:from>
    <xdr:ext cx="647700" cy="647700"/>
    <xdr:pic>
      <xdr:nvPicPr>
        <xdr:cNvPr id="117" name="/xl/media/image458.png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</xdr:row>
      <xdr:rowOff>9525</xdr:rowOff>
    </xdr:from>
    <xdr:ext cx="571500" cy="571500"/>
    <xdr:pic>
      <xdr:nvPicPr>
        <xdr:cNvPr id="118" name="/xl/media/image431.png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</xdr:row>
      <xdr:rowOff>9525</xdr:rowOff>
    </xdr:from>
    <xdr:ext cx="571500" cy="571500"/>
    <xdr:pic>
      <xdr:nvPicPr>
        <xdr:cNvPr id="119" name="/xl/media/image432.png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</xdr:row>
      <xdr:rowOff>9525</xdr:rowOff>
    </xdr:from>
    <xdr:ext cx="571500" cy="571500"/>
    <xdr:pic>
      <xdr:nvPicPr>
        <xdr:cNvPr id="120" name="/xl/media/image433.png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</xdr:row>
      <xdr:rowOff>9525</xdr:rowOff>
    </xdr:from>
    <xdr:ext cx="571500" cy="571500"/>
    <xdr:pic>
      <xdr:nvPicPr>
        <xdr:cNvPr id="121" name="/xl/media/image434.png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79</xdr:row>
      <xdr:rowOff>19050</xdr:rowOff>
    </xdr:from>
    <xdr:ext cx="647700" cy="647700"/>
    <xdr:pic>
      <xdr:nvPicPr>
        <xdr:cNvPr id="122" name="/xl/media/image458.png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80</xdr:row>
      <xdr:rowOff>9525</xdr:rowOff>
    </xdr:from>
    <xdr:ext cx="571500" cy="571500"/>
    <xdr:pic>
      <xdr:nvPicPr>
        <xdr:cNvPr id="123" name="/xl/media/image451.png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80</xdr:row>
      <xdr:rowOff>9525</xdr:rowOff>
    </xdr:from>
    <xdr:ext cx="571500" cy="571500"/>
    <xdr:pic>
      <xdr:nvPicPr>
        <xdr:cNvPr id="124" name="/xl/media/image452.png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80</xdr:row>
      <xdr:rowOff>9525</xdr:rowOff>
    </xdr:from>
    <xdr:ext cx="571500" cy="571500"/>
    <xdr:pic>
      <xdr:nvPicPr>
        <xdr:cNvPr id="125" name="/xl/media/image453.png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82</xdr:row>
      <xdr:rowOff>9525</xdr:rowOff>
    </xdr:from>
    <xdr:ext cx="571500" cy="571500"/>
    <xdr:pic>
      <xdr:nvPicPr>
        <xdr:cNvPr id="126" name="/xl/media/image454.png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</xdr:row>
      <xdr:rowOff>428625</xdr:rowOff>
    </xdr:from>
    <xdr:ext cx="1438275" cy="1438275"/>
    <xdr:pic>
      <xdr:nvPicPr>
        <xdr:cNvPr id="127" name="/xl/media/image447.png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86</xdr:row>
      <xdr:rowOff>19050</xdr:rowOff>
    </xdr:from>
    <xdr:ext cx="647700" cy="647700"/>
    <xdr:pic>
      <xdr:nvPicPr>
        <xdr:cNvPr id="128" name="/xl/media/image459.png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</xdr:row>
      <xdr:rowOff>9525</xdr:rowOff>
    </xdr:from>
    <xdr:ext cx="571500" cy="571500"/>
    <xdr:pic>
      <xdr:nvPicPr>
        <xdr:cNvPr id="129" name="/xl/media/image431.png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</xdr:row>
      <xdr:rowOff>9525</xdr:rowOff>
    </xdr:from>
    <xdr:ext cx="571500" cy="571500"/>
    <xdr:pic>
      <xdr:nvPicPr>
        <xdr:cNvPr id="130" name="/xl/media/image432.png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</xdr:row>
      <xdr:rowOff>9525</xdr:rowOff>
    </xdr:from>
    <xdr:ext cx="571500" cy="571500"/>
    <xdr:pic>
      <xdr:nvPicPr>
        <xdr:cNvPr id="131" name="/xl/media/image433.png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</xdr:row>
      <xdr:rowOff>9525</xdr:rowOff>
    </xdr:from>
    <xdr:ext cx="571500" cy="571500"/>
    <xdr:pic>
      <xdr:nvPicPr>
        <xdr:cNvPr id="132" name="/xl/media/image434.png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86</xdr:row>
      <xdr:rowOff>19050</xdr:rowOff>
    </xdr:from>
    <xdr:ext cx="647700" cy="647700"/>
    <xdr:pic>
      <xdr:nvPicPr>
        <xdr:cNvPr id="133" name="/xl/media/image459.png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87</xdr:row>
      <xdr:rowOff>9525</xdr:rowOff>
    </xdr:from>
    <xdr:ext cx="571500" cy="571500"/>
    <xdr:pic>
      <xdr:nvPicPr>
        <xdr:cNvPr id="134" name="/xl/media/image451.png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87</xdr:row>
      <xdr:rowOff>9525</xdr:rowOff>
    </xdr:from>
    <xdr:ext cx="571500" cy="571500"/>
    <xdr:pic>
      <xdr:nvPicPr>
        <xdr:cNvPr id="135" name="/xl/media/image452.png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87</xdr:row>
      <xdr:rowOff>9525</xdr:rowOff>
    </xdr:from>
    <xdr:ext cx="571500" cy="571500"/>
    <xdr:pic>
      <xdr:nvPicPr>
        <xdr:cNvPr id="136" name="/xl/media/image453.png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89</xdr:row>
      <xdr:rowOff>9525</xdr:rowOff>
    </xdr:from>
    <xdr:ext cx="571500" cy="571500"/>
    <xdr:pic>
      <xdr:nvPicPr>
        <xdr:cNvPr id="137" name="/xl/media/image454.png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92</xdr:row>
      <xdr:rowOff>428625</xdr:rowOff>
    </xdr:from>
    <xdr:ext cx="1438275" cy="1438275"/>
    <xdr:pic>
      <xdr:nvPicPr>
        <xdr:cNvPr id="138" name="/xl/media/image449.png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93</xdr:row>
      <xdr:rowOff>19050</xdr:rowOff>
    </xdr:from>
    <xdr:ext cx="647700" cy="647700"/>
    <xdr:pic>
      <xdr:nvPicPr>
        <xdr:cNvPr id="139" name="/xl/media/image460.png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</xdr:row>
      <xdr:rowOff>9525</xdr:rowOff>
    </xdr:from>
    <xdr:ext cx="571500" cy="571500"/>
    <xdr:pic>
      <xdr:nvPicPr>
        <xdr:cNvPr id="140" name="/xl/media/image431.png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</xdr:row>
      <xdr:rowOff>9525</xdr:rowOff>
    </xdr:from>
    <xdr:ext cx="571500" cy="571500"/>
    <xdr:pic>
      <xdr:nvPicPr>
        <xdr:cNvPr id="141" name="/xl/media/image432.png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94</xdr:row>
      <xdr:rowOff>9525</xdr:rowOff>
    </xdr:from>
    <xdr:ext cx="571500" cy="571500"/>
    <xdr:pic>
      <xdr:nvPicPr>
        <xdr:cNvPr id="142" name="/xl/media/image433.png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96</xdr:row>
      <xdr:rowOff>9525</xdr:rowOff>
    </xdr:from>
    <xdr:ext cx="571500" cy="571500"/>
    <xdr:pic>
      <xdr:nvPicPr>
        <xdr:cNvPr id="143" name="/xl/media/image434.png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93</xdr:row>
      <xdr:rowOff>19050</xdr:rowOff>
    </xdr:from>
    <xdr:ext cx="647700" cy="647700"/>
    <xdr:pic>
      <xdr:nvPicPr>
        <xdr:cNvPr id="144" name="/xl/media/image460.png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94</xdr:row>
      <xdr:rowOff>9525</xdr:rowOff>
    </xdr:from>
    <xdr:ext cx="571500" cy="571500"/>
    <xdr:pic>
      <xdr:nvPicPr>
        <xdr:cNvPr id="145" name="/xl/media/image451.png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94</xdr:row>
      <xdr:rowOff>9525</xdr:rowOff>
    </xdr:from>
    <xdr:ext cx="571500" cy="571500"/>
    <xdr:pic>
      <xdr:nvPicPr>
        <xdr:cNvPr id="146" name="/xl/media/image452.png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94</xdr:row>
      <xdr:rowOff>9525</xdr:rowOff>
    </xdr:from>
    <xdr:ext cx="571500" cy="571500"/>
    <xdr:pic>
      <xdr:nvPicPr>
        <xdr:cNvPr id="147" name="/xl/media/image453.png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96</xdr:row>
      <xdr:rowOff>9525</xdr:rowOff>
    </xdr:from>
    <xdr:ext cx="571500" cy="571500"/>
    <xdr:pic>
      <xdr:nvPicPr>
        <xdr:cNvPr id="148" name="/xl/media/image454.png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99</xdr:row>
      <xdr:rowOff>428625</xdr:rowOff>
    </xdr:from>
    <xdr:ext cx="1438275" cy="1438275"/>
    <xdr:pic>
      <xdr:nvPicPr>
        <xdr:cNvPr id="149" name="/xl/media/image437.png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101</xdr:row>
      <xdr:rowOff>9525</xdr:rowOff>
    </xdr:from>
    <xdr:ext cx="571500" cy="571500"/>
    <xdr:pic>
      <xdr:nvPicPr>
        <xdr:cNvPr id="150" name="/xl/media/image451.png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101</xdr:row>
      <xdr:rowOff>9525</xdr:rowOff>
    </xdr:from>
    <xdr:ext cx="571500" cy="571500"/>
    <xdr:pic>
      <xdr:nvPicPr>
        <xdr:cNvPr id="151" name="/xl/media/image452.png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101</xdr:row>
      <xdr:rowOff>9525</xdr:rowOff>
    </xdr:from>
    <xdr:ext cx="571500" cy="571500"/>
    <xdr:pic>
      <xdr:nvPicPr>
        <xdr:cNvPr id="152" name="/xl/media/image453.png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103</xdr:row>
      <xdr:rowOff>9525</xdr:rowOff>
    </xdr:from>
    <xdr:ext cx="571500" cy="571500"/>
    <xdr:pic>
      <xdr:nvPicPr>
        <xdr:cNvPr id="153" name="/xl/media/image454.png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106</xdr:row>
      <xdr:rowOff>428625</xdr:rowOff>
    </xdr:from>
    <xdr:ext cx="1438275" cy="1438275"/>
    <xdr:pic>
      <xdr:nvPicPr>
        <xdr:cNvPr id="154" name="/xl/media/image460.png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107</xdr:row>
      <xdr:rowOff>19050</xdr:rowOff>
    </xdr:from>
    <xdr:ext cx="647700" cy="647700"/>
    <xdr:pic>
      <xdr:nvPicPr>
        <xdr:cNvPr id="155" name="/xl/media/image461.png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108</xdr:row>
      <xdr:rowOff>9525</xdr:rowOff>
    </xdr:from>
    <xdr:ext cx="571500" cy="571500"/>
    <xdr:pic>
      <xdr:nvPicPr>
        <xdr:cNvPr id="156" name="/xl/media/image462.png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108</xdr:row>
      <xdr:rowOff>9525</xdr:rowOff>
    </xdr:from>
    <xdr:ext cx="571500" cy="571500"/>
    <xdr:pic>
      <xdr:nvPicPr>
        <xdr:cNvPr id="157" name="/xl/media/image463.png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108</xdr:row>
      <xdr:rowOff>9525</xdr:rowOff>
    </xdr:from>
    <xdr:ext cx="571500" cy="571500"/>
    <xdr:pic>
      <xdr:nvPicPr>
        <xdr:cNvPr id="158" name="/xl/media/image464.png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110</xdr:row>
      <xdr:rowOff>9525</xdr:rowOff>
    </xdr:from>
    <xdr:ext cx="571500" cy="571500"/>
    <xdr:pic>
      <xdr:nvPicPr>
        <xdr:cNvPr id="159" name="/xl/media/image465.png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113</xdr:row>
      <xdr:rowOff>428625</xdr:rowOff>
    </xdr:from>
    <xdr:ext cx="1438275" cy="1438275"/>
    <xdr:pic>
      <xdr:nvPicPr>
        <xdr:cNvPr id="160" name="/xl/media/image459.png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114</xdr:row>
      <xdr:rowOff>19050</xdr:rowOff>
    </xdr:from>
    <xdr:ext cx="647700" cy="647700"/>
    <xdr:pic>
      <xdr:nvPicPr>
        <xdr:cNvPr id="161" name="/xl/media/image466.png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115</xdr:row>
      <xdr:rowOff>9525</xdr:rowOff>
    </xdr:from>
    <xdr:ext cx="571500" cy="571500"/>
    <xdr:pic>
      <xdr:nvPicPr>
        <xdr:cNvPr id="162" name="/xl/media/image462.png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115</xdr:row>
      <xdr:rowOff>9525</xdr:rowOff>
    </xdr:from>
    <xdr:ext cx="571500" cy="571500"/>
    <xdr:pic>
      <xdr:nvPicPr>
        <xdr:cNvPr id="163" name="/xl/media/image463.png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115</xdr:row>
      <xdr:rowOff>9525</xdr:rowOff>
    </xdr:from>
    <xdr:ext cx="571500" cy="571500"/>
    <xdr:pic>
      <xdr:nvPicPr>
        <xdr:cNvPr id="164" name="/xl/media/image464.png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117</xdr:row>
      <xdr:rowOff>9525</xdr:rowOff>
    </xdr:from>
    <xdr:ext cx="571500" cy="571500"/>
    <xdr:pic>
      <xdr:nvPicPr>
        <xdr:cNvPr id="165" name="/xl/media/image465.png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120</xdr:row>
      <xdr:rowOff>428625</xdr:rowOff>
    </xdr:from>
    <xdr:ext cx="1438275" cy="1438275"/>
    <xdr:pic>
      <xdr:nvPicPr>
        <xdr:cNvPr id="166" name="/xl/media/image458.png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121</xdr:row>
      <xdr:rowOff>19050</xdr:rowOff>
    </xdr:from>
    <xdr:ext cx="647700" cy="647700"/>
    <xdr:pic>
      <xdr:nvPicPr>
        <xdr:cNvPr id="167" name="/xl/media/image467.png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122</xdr:row>
      <xdr:rowOff>9525</xdr:rowOff>
    </xdr:from>
    <xdr:ext cx="571500" cy="571500"/>
    <xdr:pic>
      <xdr:nvPicPr>
        <xdr:cNvPr id="168" name="/xl/media/image462.png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122</xdr:row>
      <xdr:rowOff>9525</xdr:rowOff>
    </xdr:from>
    <xdr:ext cx="571500" cy="571500"/>
    <xdr:pic>
      <xdr:nvPicPr>
        <xdr:cNvPr id="169" name="/xl/media/image463.png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122</xdr:row>
      <xdr:rowOff>9525</xdr:rowOff>
    </xdr:from>
    <xdr:ext cx="571500" cy="571500"/>
    <xdr:pic>
      <xdr:nvPicPr>
        <xdr:cNvPr id="170" name="/xl/media/image464.png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124</xdr:row>
      <xdr:rowOff>9525</xdr:rowOff>
    </xdr:from>
    <xdr:ext cx="571500" cy="571500"/>
    <xdr:pic>
      <xdr:nvPicPr>
        <xdr:cNvPr id="171" name="/xl/media/image465.png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127</xdr:row>
      <xdr:rowOff>428625</xdr:rowOff>
    </xdr:from>
    <xdr:ext cx="1438275" cy="1438275"/>
    <xdr:pic>
      <xdr:nvPicPr>
        <xdr:cNvPr id="172" name="/xl/media/image456.png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128</xdr:row>
      <xdr:rowOff>19050</xdr:rowOff>
    </xdr:from>
    <xdr:ext cx="647700" cy="647700"/>
    <xdr:pic>
      <xdr:nvPicPr>
        <xdr:cNvPr id="173" name="/xl/media/image468.png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129</xdr:row>
      <xdr:rowOff>9525</xdr:rowOff>
    </xdr:from>
    <xdr:ext cx="571500" cy="571500"/>
    <xdr:pic>
      <xdr:nvPicPr>
        <xdr:cNvPr id="174" name="/xl/media/image462.png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129</xdr:row>
      <xdr:rowOff>9525</xdr:rowOff>
    </xdr:from>
    <xdr:ext cx="571500" cy="571500"/>
    <xdr:pic>
      <xdr:nvPicPr>
        <xdr:cNvPr id="175" name="/xl/media/image463.png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129</xdr:row>
      <xdr:rowOff>9525</xdr:rowOff>
    </xdr:from>
    <xdr:ext cx="571500" cy="571500"/>
    <xdr:pic>
      <xdr:nvPicPr>
        <xdr:cNvPr id="176" name="/xl/media/image464.png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131</xdr:row>
      <xdr:rowOff>9525</xdr:rowOff>
    </xdr:from>
    <xdr:ext cx="571500" cy="571500"/>
    <xdr:pic>
      <xdr:nvPicPr>
        <xdr:cNvPr id="177" name="/xl/media/image465.png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134</xdr:row>
      <xdr:rowOff>428625</xdr:rowOff>
    </xdr:from>
    <xdr:ext cx="1438275" cy="1438275"/>
    <xdr:pic>
      <xdr:nvPicPr>
        <xdr:cNvPr id="178" name="/xl/media/image457.png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135</xdr:row>
      <xdr:rowOff>19050</xdr:rowOff>
    </xdr:from>
    <xdr:ext cx="647700" cy="647700"/>
    <xdr:pic>
      <xdr:nvPicPr>
        <xdr:cNvPr id="179" name="/xl/media/image469.png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136</xdr:row>
      <xdr:rowOff>9525</xdr:rowOff>
    </xdr:from>
    <xdr:ext cx="571500" cy="571500"/>
    <xdr:pic>
      <xdr:nvPicPr>
        <xdr:cNvPr id="180" name="/xl/media/image462.png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136</xdr:row>
      <xdr:rowOff>9525</xdr:rowOff>
    </xdr:from>
    <xdr:ext cx="571500" cy="571500"/>
    <xdr:pic>
      <xdr:nvPicPr>
        <xdr:cNvPr id="181" name="/xl/media/image463.png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136</xdr:row>
      <xdr:rowOff>9525</xdr:rowOff>
    </xdr:from>
    <xdr:ext cx="571500" cy="571500"/>
    <xdr:pic>
      <xdr:nvPicPr>
        <xdr:cNvPr id="182" name="/xl/media/image464.png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138</xdr:row>
      <xdr:rowOff>9525</xdr:rowOff>
    </xdr:from>
    <xdr:ext cx="571500" cy="571500"/>
    <xdr:pic>
      <xdr:nvPicPr>
        <xdr:cNvPr id="183" name="/xl/media/image465.png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141</xdr:row>
      <xdr:rowOff>428625</xdr:rowOff>
    </xdr:from>
    <xdr:ext cx="1438275" cy="1438275"/>
    <xdr:pic>
      <xdr:nvPicPr>
        <xdr:cNvPr id="184" name="/xl/media/image455.png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142</xdr:row>
      <xdr:rowOff>19050</xdr:rowOff>
    </xdr:from>
    <xdr:ext cx="647700" cy="647700"/>
    <xdr:pic>
      <xdr:nvPicPr>
        <xdr:cNvPr id="185" name="/xl/media/image470.png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143</xdr:row>
      <xdr:rowOff>9525</xdr:rowOff>
    </xdr:from>
    <xdr:ext cx="571500" cy="571500"/>
    <xdr:pic>
      <xdr:nvPicPr>
        <xdr:cNvPr id="186" name="/xl/media/image462.png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143</xdr:row>
      <xdr:rowOff>9525</xdr:rowOff>
    </xdr:from>
    <xdr:ext cx="571500" cy="571500"/>
    <xdr:pic>
      <xdr:nvPicPr>
        <xdr:cNvPr id="187" name="/xl/media/image463.png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143</xdr:row>
      <xdr:rowOff>9525</xdr:rowOff>
    </xdr:from>
    <xdr:ext cx="571500" cy="571500"/>
    <xdr:pic>
      <xdr:nvPicPr>
        <xdr:cNvPr id="188" name="/xl/media/image464.png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145</xdr:row>
      <xdr:rowOff>9525</xdr:rowOff>
    </xdr:from>
    <xdr:ext cx="571500" cy="571500"/>
    <xdr:pic>
      <xdr:nvPicPr>
        <xdr:cNvPr id="189" name="/xl/media/image465.png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148</xdr:row>
      <xdr:rowOff>428625</xdr:rowOff>
    </xdr:from>
    <xdr:ext cx="1438275" cy="1438275"/>
    <xdr:pic>
      <xdr:nvPicPr>
        <xdr:cNvPr id="190" name="/xl/media/image450.png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149</xdr:row>
      <xdr:rowOff>19050</xdr:rowOff>
    </xdr:from>
    <xdr:ext cx="647700" cy="647700"/>
    <xdr:pic>
      <xdr:nvPicPr>
        <xdr:cNvPr id="191" name="/xl/media/image471.png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150</xdr:row>
      <xdr:rowOff>9525</xdr:rowOff>
    </xdr:from>
    <xdr:ext cx="571500" cy="571500"/>
    <xdr:pic>
      <xdr:nvPicPr>
        <xdr:cNvPr id="192" name="/xl/media/image462.png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150</xdr:row>
      <xdr:rowOff>9525</xdr:rowOff>
    </xdr:from>
    <xdr:ext cx="571500" cy="571500"/>
    <xdr:pic>
      <xdr:nvPicPr>
        <xdr:cNvPr id="193" name="/xl/media/image463.png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150</xdr:row>
      <xdr:rowOff>9525</xdr:rowOff>
    </xdr:from>
    <xdr:ext cx="571500" cy="571500"/>
    <xdr:pic>
      <xdr:nvPicPr>
        <xdr:cNvPr id="194" name="/xl/media/image464.png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152</xdr:row>
      <xdr:rowOff>9525</xdr:rowOff>
    </xdr:from>
    <xdr:ext cx="571500" cy="571500"/>
    <xdr:pic>
      <xdr:nvPicPr>
        <xdr:cNvPr id="195" name="/xl/media/image465.png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155</xdr:row>
      <xdr:rowOff>428625</xdr:rowOff>
    </xdr:from>
    <xdr:ext cx="1438275" cy="1438275"/>
    <xdr:pic>
      <xdr:nvPicPr>
        <xdr:cNvPr id="196" name="/xl/media/image461.png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156</xdr:row>
      <xdr:rowOff>19050</xdr:rowOff>
    </xdr:from>
    <xdr:ext cx="647700" cy="647700"/>
    <xdr:pic>
      <xdr:nvPicPr>
        <xdr:cNvPr id="197" name="/xl/media/image472.png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157</xdr:row>
      <xdr:rowOff>9525</xdr:rowOff>
    </xdr:from>
    <xdr:ext cx="571500" cy="571500"/>
    <xdr:pic>
      <xdr:nvPicPr>
        <xdr:cNvPr id="198" name="/xl/media/image473.png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157</xdr:row>
      <xdr:rowOff>9525</xdr:rowOff>
    </xdr:from>
    <xdr:ext cx="571500" cy="571500"/>
    <xdr:pic>
      <xdr:nvPicPr>
        <xdr:cNvPr id="199" name="/xl/media/image474.png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157</xdr:row>
      <xdr:rowOff>9525</xdr:rowOff>
    </xdr:from>
    <xdr:ext cx="571500" cy="571500"/>
    <xdr:pic>
      <xdr:nvPicPr>
        <xdr:cNvPr id="200" name="/xl/media/image475.png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159</xdr:row>
      <xdr:rowOff>9525</xdr:rowOff>
    </xdr:from>
    <xdr:ext cx="571500" cy="571500"/>
    <xdr:pic>
      <xdr:nvPicPr>
        <xdr:cNvPr id="201" name="/xl/media/image476.png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157</xdr:row>
      <xdr:rowOff>9525</xdr:rowOff>
    </xdr:from>
    <xdr:ext cx="571500" cy="571500"/>
    <xdr:pic>
      <xdr:nvPicPr>
        <xdr:cNvPr id="202" name="/xl/media/image473.png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157</xdr:row>
      <xdr:rowOff>9525</xdr:rowOff>
    </xdr:from>
    <xdr:ext cx="571500" cy="571500"/>
    <xdr:pic>
      <xdr:nvPicPr>
        <xdr:cNvPr id="203" name="/xl/media/image474.png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157</xdr:row>
      <xdr:rowOff>9525</xdr:rowOff>
    </xdr:from>
    <xdr:ext cx="571500" cy="571500"/>
    <xdr:pic>
      <xdr:nvPicPr>
        <xdr:cNvPr id="204" name="/xl/media/image475.png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159</xdr:row>
      <xdr:rowOff>9525</xdr:rowOff>
    </xdr:from>
    <xdr:ext cx="571500" cy="571500"/>
    <xdr:pic>
      <xdr:nvPicPr>
        <xdr:cNvPr id="205" name="/xl/media/image476.png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162</xdr:row>
      <xdr:rowOff>428625</xdr:rowOff>
    </xdr:from>
    <xdr:ext cx="1438275" cy="1438275"/>
    <xdr:pic>
      <xdr:nvPicPr>
        <xdr:cNvPr id="206" name="/xl/media/image467.png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163</xdr:row>
      <xdr:rowOff>19050</xdr:rowOff>
    </xdr:from>
    <xdr:ext cx="647700" cy="647700"/>
    <xdr:pic>
      <xdr:nvPicPr>
        <xdr:cNvPr id="207" name="/xl/media/image477.png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164</xdr:row>
      <xdr:rowOff>9525</xdr:rowOff>
    </xdr:from>
    <xdr:ext cx="571500" cy="571500"/>
    <xdr:pic>
      <xdr:nvPicPr>
        <xdr:cNvPr id="208" name="/xl/media/image473.png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164</xdr:row>
      <xdr:rowOff>9525</xdr:rowOff>
    </xdr:from>
    <xdr:ext cx="571500" cy="571500"/>
    <xdr:pic>
      <xdr:nvPicPr>
        <xdr:cNvPr id="209" name="/xl/media/image474.png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164</xdr:row>
      <xdr:rowOff>9525</xdr:rowOff>
    </xdr:from>
    <xdr:ext cx="571500" cy="571500"/>
    <xdr:pic>
      <xdr:nvPicPr>
        <xdr:cNvPr id="210" name="/xl/media/image475.png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166</xdr:row>
      <xdr:rowOff>9525</xdr:rowOff>
    </xdr:from>
    <xdr:ext cx="571500" cy="571500"/>
    <xdr:pic>
      <xdr:nvPicPr>
        <xdr:cNvPr id="211" name="/xl/media/image476.png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164</xdr:row>
      <xdr:rowOff>9525</xdr:rowOff>
    </xdr:from>
    <xdr:ext cx="571500" cy="571500"/>
    <xdr:pic>
      <xdr:nvPicPr>
        <xdr:cNvPr id="212" name="/xl/media/image473.png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164</xdr:row>
      <xdr:rowOff>9525</xdr:rowOff>
    </xdr:from>
    <xdr:ext cx="571500" cy="571500"/>
    <xdr:pic>
      <xdr:nvPicPr>
        <xdr:cNvPr id="213" name="/xl/media/image474.png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164</xdr:row>
      <xdr:rowOff>9525</xdr:rowOff>
    </xdr:from>
    <xdr:ext cx="571500" cy="571500"/>
    <xdr:pic>
      <xdr:nvPicPr>
        <xdr:cNvPr id="214" name="/xl/media/image475.png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166</xdr:row>
      <xdr:rowOff>9525</xdr:rowOff>
    </xdr:from>
    <xdr:ext cx="571500" cy="571500"/>
    <xdr:pic>
      <xdr:nvPicPr>
        <xdr:cNvPr id="215" name="/xl/media/image476.png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169</xdr:row>
      <xdr:rowOff>428625</xdr:rowOff>
    </xdr:from>
    <xdr:ext cx="1438275" cy="1438275"/>
    <xdr:pic>
      <xdr:nvPicPr>
        <xdr:cNvPr id="216" name="/xl/media/image470.png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170</xdr:row>
      <xdr:rowOff>19050</xdr:rowOff>
    </xdr:from>
    <xdr:ext cx="647700" cy="647700"/>
    <xdr:pic>
      <xdr:nvPicPr>
        <xdr:cNvPr id="217" name="/xl/media/image478.png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171</xdr:row>
      <xdr:rowOff>9525</xdr:rowOff>
    </xdr:from>
    <xdr:ext cx="571500" cy="571500"/>
    <xdr:pic>
      <xdr:nvPicPr>
        <xdr:cNvPr id="218" name="/xl/media/image473.png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171</xdr:row>
      <xdr:rowOff>9525</xdr:rowOff>
    </xdr:from>
    <xdr:ext cx="571500" cy="571500"/>
    <xdr:pic>
      <xdr:nvPicPr>
        <xdr:cNvPr id="219" name="/xl/media/image474.png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171</xdr:row>
      <xdr:rowOff>9525</xdr:rowOff>
    </xdr:from>
    <xdr:ext cx="571500" cy="571500"/>
    <xdr:pic>
      <xdr:nvPicPr>
        <xdr:cNvPr id="220" name="/xl/media/image475.png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173</xdr:row>
      <xdr:rowOff>9525</xdr:rowOff>
    </xdr:from>
    <xdr:ext cx="571500" cy="571500"/>
    <xdr:pic>
      <xdr:nvPicPr>
        <xdr:cNvPr id="221" name="/xl/media/image476.png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171</xdr:row>
      <xdr:rowOff>9525</xdr:rowOff>
    </xdr:from>
    <xdr:ext cx="571500" cy="571500"/>
    <xdr:pic>
      <xdr:nvPicPr>
        <xdr:cNvPr id="222" name="/xl/media/image473.png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171</xdr:row>
      <xdr:rowOff>9525</xdr:rowOff>
    </xdr:from>
    <xdr:ext cx="571500" cy="571500"/>
    <xdr:pic>
      <xdr:nvPicPr>
        <xdr:cNvPr id="223" name="/xl/media/image474.png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171</xdr:row>
      <xdr:rowOff>9525</xdr:rowOff>
    </xdr:from>
    <xdr:ext cx="571500" cy="571500"/>
    <xdr:pic>
      <xdr:nvPicPr>
        <xdr:cNvPr id="224" name="/xl/media/image475.png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173</xdr:row>
      <xdr:rowOff>9525</xdr:rowOff>
    </xdr:from>
    <xdr:ext cx="571500" cy="571500"/>
    <xdr:pic>
      <xdr:nvPicPr>
        <xdr:cNvPr id="225" name="/xl/media/image476.png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176</xdr:row>
      <xdr:rowOff>428625</xdr:rowOff>
    </xdr:from>
    <xdr:ext cx="1438275" cy="1438275"/>
    <xdr:pic>
      <xdr:nvPicPr>
        <xdr:cNvPr id="226" name="/xl/media/image466.png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177</xdr:row>
      <xdr:rowOff>19050</xdr:rowOff>
    </xdr:from>
    <xdr:ext cx="647700" cy="647700"/>
    <xdr:pic>
      <xdr:nvPicPr>
        <xdr:cNvPr id="227" name="/xl/media/image479.png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178</xdr:row>
      <xdr:rowOff>9525</xdr:rowOff>
    </xdr:from>
    <xdr:ext cx="571500" cy="571500"/>
    <xdr:pic>
      <xdr:nvPicPr>
        <xdr:cNvPr id="228" name="/xl/media/image473.png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178</xdr:row>
      <xdr:rowOff>9525</xdr:rowOff>
    </xdr:from>
    <xdr:ext cx="571500" cy="571500"/>
    <xdr:pic>
      <xdr:nvPicPr>
        <xdr:cNvPr id="229" name="/xl/media/image474.png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178</xdr:row>
      <xdr:rowOff>9525</xdr:rowOff>
    </xdr:from>
    <xdr:ext cx="571500" cy="571500"/>
    <xdr:pic>
      <xdr:nvPicPr>
        <xdr:cNvPr id="230" name="/xl/media/image475.png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180</xdr:row>
      <xdr:rowOff>9525</xdr:rowOff>
    </xdr:from>
    <xdr:ext cx="571500" cy="571500"/>
    <xdr:pic>
      <xdr:nvPicPr>
        <xdr:cNvPr id="231" name="/xl/media/image476.png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178</xdr:row>
      <xdr:rowOff>9525</xdr:rowOff>
    </xdr:from>
    <xdr:ext cx="571500" cy="571500"/>
    <xdr:pic>
      <xdr:nvPicPr>
        <xdr:cNvPr id="232" name="/xl/media/image473.png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178</xdr:row>
      <xdr:rowOff>9525</xdr:rowOff>
    </xdr:from>
    <xdr:ext cx="571500" cy="571500"/>
    <xdr:pic>
      <xdr:nvPicPr>
        <xdr:cNvPr id="233" name="/xl/media/image474.png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178</xdr:row>
      <xdr:rowOff>9525</xdr:rowOff>
    </xdr:from>
    <xdr:ext cx="571500" cy="571500"/>
    <xdr:pic>
      <xdr:nvPicPr>
        <xdr:cNvPr id="234" name="/xl/media/image475.png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180</xdr:row>
      <xdr:rowOff>9525</xdr:rowOff>
    </xdr:from>
    <xdr:ext cx="571500" cy="571500"/>
    <xdr:pic>
      <xdr:nvPicPr>
        <xdr:cNvPr id="235" name="/xl/media/image476.png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183</xdr:row>
      <xdr:rowOff>428625</xdr:rowOff>
    </xdr:from>
    <xdr:ext cx="1438275" cy="1438275"/>
    <xdr:pic>
      <xdr:nvPicPr>
        <xdr:cNvPr id="236" name="/xl/media/image468.png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184</xdr:row>
      <xdr:rowOff>19050</xdr:rowOff>
    </xdr:from>
    <xdr:ext cx="647700" cy="647700"/>
    <xdr:pic>
      <xdr:nvPicPr>
        <xdr:cNvPr id="237" name="/xl/media/image480.png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185</xdr:row>
      <xdr:rowOff>9525</xdr:rowOff>
    </xdr:from>
    <xdr:ext cx="571500" cy="571500"/>
    <xdr:pic>
      <xdr:nvPicPr>
        <xdr:cNvPr id="238" name="/xl/media/image473.png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185</xdr:row>
      <xdr:rowOff>9525</xdr:rowOff>
    </xdr:from>
    <xdr:ext cx="571500" cy="571500"/>
    <xdr:pic>
      <xdr:nvPicPr>
        <xdr:cNvPr id="239" name="/xl/media/image474.png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185</xdr:row>
      <xdr:rowOff>9525</xdr:rowOff>
    </xdr:from>
    <xdr:ext cx="571500" cy="571500"/>
    <xdr:pic>
      <xdr:nvPicPr>
        <xdr:cNvPr id="240" name="/xl/media/image475.png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187</xdr:row>
      <xdr:rowOff>9525</xdr:rowOff>
    </xdr:from>
    <xdr:ext cx="571500" cy="571500"/>
    <xdr:pic>
      <xdr:nvPicPr>
        <xdr:cNvPr id="241" name="/xl/media/image476.png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185</xdr:row>
      <xdr:rowOff>9525</xdr:rowOff>
    </xdr:from>
    <xdr:ext cx="571500" cy="571500"/>
    <xdr:pic>
      <xdr:nvPicPr>
        <xdr:cNvPr id="242" name="/xl/media/image473.png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185</xdr:row>
      <xdr:rowOff>9525</xdr:rowOff>
    </xdr:from>
    <xdr:ext cx="571500" cy="571500"/>
    <xdr:pic>
      <xdr:nvPicPr>
        <xdr:cNvPr id="243" name="/xl/media/image474.png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185</xdr:row>
      <xdr:rowOff>9525</xdr:rowOff>
    </xdr:from>
    <xdr:ext cx="571500" cy="571500"/>
    <xdr:pic>
      <xdr:nvPicPr>
        <xdr:cNvPr id="244" name="/xl/media/image475.png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187</xdr:row>
      <xdr:rowOff>9525</xdr:rowOff>
    </xdr:from>
    <xdr:ext cx="571500" cy="571500"/>
    <xdr:pic>
      <xdr:nvPicPr>
        <xdr:cNvPr id="245" name="/xl/media/image476.png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190</xdr:row>
      <xdr:rowOff>428625</xdr:rowOff>
    </xdr:from>
    <xdr:ext cx="1438275" cy="1438275"/>
    <xdr:pic>
      <xdr:nvPicPr>
        <xdr:cNvPr id="246" name="/xl/media/image471.png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191</xdr:row>
      <xdr:rowOff>19050</xdr:rowOff>
    </xdr:from>
    <xdr:ext cx="647700" cy="647700"/>
    <xdr:pic>
      <xdr:nvPicPr>
        <xdr:cNvPr id="247" name="/xl/media/image481.png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192</xdr:row>
      <xdr:rowOff>9525</xdr:rowOff>
    </xdr:from>
    <xdr:ext cx="571500" cy="571500"/>
    <xdr:pic>
      <xdr:nvPicPr>
        <xdr:cNvPr id="248" name="/xl/media/image473.png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192</xdr:row>
      <xdr:rowOff>9525</xdr:rowOff>
    </xdr:from>
    <xdr:ext cx="571500" cy="571500"/>
    <xdr:pic>
      <xdr:nvPicPr>
        <xdr:cNvPr id="249" name="/xl/media/image474.png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192</xdr:row>
      <xdr:rowOff>9525</xdr:rowOff>
    </xdr:from>
    <xdr:ext cx="571500" cy="571500"/>
    <xdr:pic>
      <xdr:nvPicPr>
        <xdr:cNvPr id="250" name="/xl/media/image475.png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194</xdr:row>
      <xdr:rowOff>9525</xdr:rowOff>
    </xdr:from>
    <xdr:ext cx="571500" cy="571500"/>
    <xdr:pic>
      <xdr:nvPicPr>
        <xdr:cNvPr id="251" name="/xl/media/image476.png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192</xdr:row>
      <xdr:rowOff>9525</xdr:rowOff>
    </xdr:from>
    <xdr:ext cx="571500" cy="571500"/>
    <xdr:pic>
      <xdr:nvPicPr>
        <xdr:cNvPr id="252" name="/xl/media/image473.png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192</xdr:row>
      <xdr:rowOff>9525</xdr:rowOff>
    </xdr:from>
    <xdr:ext cx="571500" cy="571500"/>
    <xdr:pic>
      <xdr:nvPicPr>
        <xdr:cNvPr id="253" name="/xl/media/image474.png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192</xdr:row>
      <xdr:rowOff>9525</xdr:rowOff>
    </xdr:from>
    <xdr:ext cx="571500" cy="571500"/>
    <xdr:pic>
      <xdr:nvPicPr>
        <xdr:cNvPr id="254" name="/xl/media/image475.png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194</xdr:row>
      <xdr:rowOff>9525</xdr:rowOff>
    </xdr:from>
    <xdr:ext cx="571500" cy="571500"/>
    <xdr:pic>
      <xdr:nvPicPr>
        <xdr:cNvPr id="255" name="/xl/media/image476.png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197</xdr:row>
      <xdr:rowOff>428625</xdr:rowOff>
    </xdr:from>
    <xdr:ext cx="1438275" cy="1438275"/>
    <xdr:pic>
      <xdr:nvPicPr>
        <xdr:cNvPr id="256" name="/xl/media/image469.png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198</xdr:row>
      <xdr:rowOff>19050</xdr:rowOff>
    </xdr:from>
    <xdr:ext cx="647700" cy="647700"/>
    <xdr:pic>
      <xdr:nvPicPr>
        <xdr:cNvPr id="257" name="/xl/media/image482.png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199</xdr:row>
      <xdr:rowOff>9525</xdr:rowOff>
    </xdr:from>
    <xdr:ext cx="571500" cy="571500"/>
    <xdr:pic>
      <xdr:nvPicPr>
        <xdr:cNvPr id="258" name="/xl/media/image473.png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199</xdr:row>
      <xdr:rowOff>9525</xdr:rowOff>
    </xdr:from>
    <xdr:ext cx="571500" cy="571500"/>
    <xdr:pic>
      <xdr:nvPicPr>
        <xdr:cNvPr id="259" name="/xl/media/image474.png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199</xdr:row>
      <xdr:rowOff>9525</xdr:rowOff>
    </xdr:from>
    <xdr:ext cx="571500" cy="571500"/>
    <xdr:pic>
      <xdr:nvPicPr>
        <xdr:cNvPr id="260" name="/xl/media/image475.png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201</xdr:row>
      <xdr:rowOff>9525</xdr:rowOff>
    </xdr:from>
    <xdr:ext cx="571500" cy="571500"/>
    <xdr:pic>
      <xdr:nvPicPr>
        <xdr:cNvPr id="261" name="/xl/media/image476.png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199</xdr:row>
      <xdr:rowOff>9525</xdr:rowOff>
    </xdr:from>
    <xdr:ext cx="571500" cy="571500"/>
    <xdr:pic>
      <xdr:nvPicPr>
        <xdr:cNvPr id="262" name="/xl/media/image473.png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199</xdr:row>
      <xdr:rowOff>9525</xdr:rowOff>
    </xdr:from>
    <xdr:ext cx="571500" cy="571500"/>
    <xdr:pic>
      <xdr:nvPicPr>
        <xdr:cNvPr id="263" name="/xl/media/image474.png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199</xdr:row>
      <xdr:rowOff>9525</xdr:rowOff>
    </xdr:from>
    <xdr:ext cx="571500" cy="571500"/>
    <xdr:pic>
      <xdr:nvPicPr>
        <xdr:cNvPr id="264" name="/xl/media/image475.png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201</xdr:row>
      <xdr:rowOff>9525</xdr:rowOff>
    </xdr:from>
    <xdr:ext cx="571500" cy="571500"/>
    <xdr:pic>
      <xdr:nvPicPr>
        <xdr:cNvPr id="265" name="/xl/media/image476.png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204</xdr:row>
      <xdr:rowOff>428625</xdr:rowOff>
    </xdr:from>
    <xdr:ext cx="1438275" cy="1438275"/>
    <xdr:pic>
      <xdr:nvPicPr>
        <xdr:cNvPr id="266" name="/xl/media/image481.png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206</xdr:row>
      <xdr:rowOff>9525</xdr:rowOff>
    </xdr:from>
    <xdr:ext cx="571500" cy="571500"/>
    <xdr:pic>
      <xdr:nvPicPr>
        <xdr:cNvPr id="267" name="/xl/media/image483.png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206</xdr:row>
      <xdr:rowOff>9525</xdr:rowOff>
    </xdr:from>
    <xdr:ext cx="571500" cy="571500"/>
    <xdr:pic>
      <xdr:nvPicPr>
        <xdr:cNvPr id="268" name="/xl/media/image484.png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206</xdr:row>
      <xdr:rowOff>9525</xdr:rowOff>
    </xdr:from>
    <xdr:ext cx="571500" cy="571500"/>
    <xdr:pic>
      <xdr:nvPicPr>
        <xdr:cNvPr id="269" name="/xl/media/image485.png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211</xdr:row>
      <xdr:rowOff>428625</xdr:rowOff>
    </xdr:from>
    <xdr:ext cx="1438275" cy="1438275"/>
    <xdr:pic>
      <xdr:nvPicPr>
        <xdr:cNvPr id="270" name="/xl/media/image478.png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213</xdr:row>
      <xdr:rowOff>9525</xdr:rowOff>
    </xdr:from>
    <xdr:ext cx="571500" cy="571500"/>
    <xdr:pic>
      <xdr:nvPicPr>
        <xdr:cNvPr id="271" name="/xl/media/image483.png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213</xdr:row>
      <xdr:rowOff>9525</xdr:rowOff>
    </xdr:from>
    <xdr:ext cx="571500" cy="571500"/>
    <xdr:pic>
      <xdr:nvPicPr>
        <xdr:cNvPr id="272" name="/xl/media/image484.png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213</xdr:row>
      <xdr:rowOff>9525</xdr:rowOff>
    </xdr:from>
    <xdr:ext cx="571500" cy="571500"/>
    <xdr:pic>
      <xdr:nvPicPr>
        <xdr:cNvPr id="273" name="/xl/media/image485.png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218</xdr:row>
      <xdr:rowOff>428625</xdr:rowOff>
    </xdr:from>
    <xdr:ext cx="1438275" cy="1438275"/>
    <xdr:pic>
      <xdr:nvPicPr>
        <xdr:cNvPr id="274" name="/xl/media/image480.png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220</xdr:row>
      <xdr:rowOff>9525</xdr:rowOff>
    </xdr:from>
    <xdr:ext cx="571500" cy="571500"/>
    <xdr:pic>
      <xdr:nvPicPr>
        <xdr:cNvPr id="275" name="/xl/media/image483.png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220</xdr:row>
      <xdr:rowOff>9525</xdr:rowOff>
    </xdr:from>
    <xdr:ext cx="571500" cy="571500"/>
    <xdr:pic>
      <xdr:nvPicPr>
        <xdr:cNvPr id="276" name="/xl/media/image484.png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220</xdr:row>
      <xdr:rowOff>9525</xdr:rowOff>
    </xdr:from>
    <xdr:ext cx="571500" cy="571500"/>
    <xdr:pic>
      <xdr:nvPicPr>
        <xdr:cNvPr id="277" name="/xl/media/image485.png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225</xdr:row>
      <xdr:rowOff>428625</xdr:rowOff>
    </xdr:from>
    <xdr:ext cx="1438275" cy="1438275"/>
    <xdr:pic>
      <xdr:nvPicPr>
        <xdr:cNvPr id="278" name="/xl/media/image482.png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227</xdr:row>
      <xdr:rowOff>9525</xdr:rowOff>
    </xdr:from>
    <xdr:ext cx="571500" cy="571500"/>
    <xdr:pic>
      <xdr:nvPicPr>
        <xdr:cNvPr id="279" name="/xl/media/image483.png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227</xdr:row>
      <xdr:rowOff>9525</xdr:rowOff>
    </xdr:from>
    <xdr:ext cx="571500" cy="571500"/>
    <xdr:pic>
      <xdr:nvPicPr>
        <xdr:cNvPr id="280" name="/xl/media/image484.png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227</xdr:row>
      <xdr:rowOff>9525</xdr:rowOff>
    </xdr:from>
    <xdr:ext cx="571500" cy="571500"/>
    <xdr:pic>
      <xdr:nvPicPr>
        <xdr:cNvPr id="281" name="/xl/media/image485.png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232</xdr:row>
      <xdr:rowOff>428625</xdr:rowOff>
    </xdr:from>
    <xdr:ext cx="1438275" cy="1438275"/>
    <xdr:pic>
      <xdr:nvPicPr>
        <xdr:cNvPr id="282" name="/xl/media/image477.png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233</xdr:row>
      <xdr:rowOff>19050</xdr:rowOff>
    </xdr:from>
    <xdr:ext cx="647700" cy="647700"/>
    <xdr:pic>
      <xdr:nvPicPr>
        <xdr:cNvPr id="283" name="/xl/media/image486.png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234</xdr:row>
      <xdr:rowOff>9525</xdr:rowOff>
    </xdr:from>
    <xdr:ext cx="571500" cy="571500"/>
    <xdr:pic>
      <xdr:nvPicPr>
        <xdr:cNvPr id="284" name="/xl/media/image483.png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234</xdr:row>
      <xdr:rowOff>9525</xdr:rowOff>
    </xdr:from>
    <xdr:ext cx="571500" cy="571500"/>
    <xdr:pic>
      <xdr:nvPicPr>
        <xdr:cNvPr id="285" name="/xl/media/image484.png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234</xdr:row>
      <xdr:rowOff>9525</xdr:rowOff>
    </xdr:from>
    <xdr:ext cx="571500" cy="571500"/>
    <xdr:pic>
      <xdr:nvPicPr>
        <xdr:cNvPr id="286" name="/xl/media/image485.png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234</xdr:row>
      <xdr:rowOff>9525</xdr:rowOff>
    </xdr:from>
    <xdr:ext cx="571500" cy="571500"/>
    <xdr:pic>
      <xdr:nvPicPr>
        <xdr:cNvPr id="287" name="/xl/media/image483.png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234</xdr:row>
      <xdr:rowOff>9525</xdr:rowOff>
    </xdr:from>
    <xdr:ext cx="571500" cy="571500"/>
    <xdr:pic>
      <xdr:nvPicPr>
        <xdr:cNvPr id="288" name="/xl/media/image484.png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234</xdr:row>
      <xdr:rowOff>9525</xdr:rowOff>
    </xdr:from>
    <xdr:ext cx="571500" cy="571500"/>
    <xdr:pic>
      <xdr:nvPicPr>
        <xdr:cNvPr id="289" name="/xl/media/image485.png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239</xdr:row>
      <xdr:rowOff>428625</xdr:rowOff>
    </xdr:from>
    <xdr:ext cx="1438275" cy="1438275"/>
    <xdr:pic>
      <xdr:nvPicPr>
        <xdr:cNvPr id="290" name="/xl/media/image472.png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240</xdr:row>
      <xdr:rowOff>19050</xdr:rowOff>
    </xdr:from>
    <xdr:ext cx="647700" cy="647700"/>
    <xdr:pic>
      <xdr:nvPicPr>
        <xdr:cNvPr id="291" name="/xl/media/image487.png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241</xdr:row>
      <xdr:rowOff>9525</xdr:rowOff>
    </xdr:from>
    <xdr:ext cx="571500" cy="571500"/>
    <xdr:pic>
      <xdr:nvPicPr>
        <xdr:cNvPr id="292" name="/xl/media/image483.png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241</xdr:row>
      <xdr:rowOff>9525</xdr:rowOff>
    </xdr:from>
    <xdr:ext cx="571500" cy="571500"/>
    <xdr:pic>
      <xdr:nvPicPr>
        <xdr:cNvPr id="293" name="/xl/media/image484.png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241</xdr:row>
      <xdr:rowOff>9525</xdr:rowOff>
    </xdr:from>
    <xdr:ext cx="571500" cy="571500"/>
    <xdr:pic>
      <xdr:nvPicPr>
        <xdr:cNvPr id="294" name="/xl/media/image485.png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241</xdr:row>
      <xdr:rowOff>9525</xdr:rowOff>
    </xdr:from>
    <xdr:ext cx="571500" cy="571500"/>
    <xdr:pic>
      <xdr:nvPicPr>
        <xdr:cNvPr id="295" name="/xl/media/image483.png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241</xdr:row>
      <xdr:rowOff>9525</xdr:rowOff>
    </xdr:from>
    <xdr:ext cx="571500" cy="571500"/>
    <xdr:pic>
      <xdr:nvPicPr>
        <xdr:cNvPr id="296" name="/xl/media/image484.png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241</xdr:row>
      <xdr:rowOff>9525</xdr:rowOff>
    </xdr:from>
    <xdr:ext cx="571500" cy="571500"/>
    <xdr:pic>
      <xdr:nvPicPr>
        <xdr:cNvPr id="297" name="/xl/media/image485.png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246</xdr:row>
      <xdr:rowOff>428625</xdr:rowOff>
    </xdr:from>
    <xdr:ext cx="1438275" cy="1438275"/>
    <xdr:pic>
      <xdr:nvPicPr>
        <xdr:cNvPr id="298" name="/xl/media/image479.png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247</xdr:row>
      <xdr:rowOff>19050</xdr:rowOff>
    </xdr:from>
    <xdr:ext cx="647700" cy="647700"/>
    <xdr:pic>
      <xdr:nvPicPr>
        <xdr:cNvPr id="299" name="/xl/media/image488.png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248</xdr:row>
      <xdr:rowOff>9525</xdr:rowOff>
    </xdr:from>
    <xdr:ext cx="571500" cy="571500"/>
    <xdr:pic>
      <xdr:nvPicPr>
        <xdr:cNvPr id="300" name="/xl/media/image483.png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248</xdr:row>
      <xdr:rowOff>9525</xdr:rowOff>
    </xdr:from>
    <xdr:ext cx="571500" cy="571500"/>
    <xdr:pic>
      <xdr:nvPicPr>
        <xdr:cNvPr id="301" name="/xl/media/image484.png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248</xdr:row>
      <xdr:rowOff>9525</xdr:rowOff>
    </xdr:from>
    <xdr:ext cx="571500" cy="571500"/>
    <xdr:pic>
      <xdr:nvPicPr>
        <xdr:cNvPr id="302" name="/xl/media/image485.png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248</xdr:row>
      <xdr:rowOff>9525</xdr:rowOff>
    </xdr:from>
    <xdr:ext cx="571500" cy="571500"/>
    <xdr:pic>
      <xdr:nvPicPr>
        <xdr:cNvPr id="303" name="/xl/media/image483.png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248</xdr:row>
      <xdr:rowOff>9525</xdr:rowOff>
    </xdr:from>
    <xdr:ext cx="571500" cy="571500"/>
    <xdr:pic>
      <xdr:nvPicPr>
        <xdr:cNvPr id="304" name="/xl/media/image484.png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248</xdr:row>
      <xdr:rowOff>9525</xdr:rowOff>
    </xdr:from>
    <xdr:ext cx="571500" cy="571500"/>
    <xdr:pic>
      <xdr:nvPicPr>
        <xdr:cNvPr id="305" name="/xl/media/image485.png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253</xdr:row>
      <xdr:rowOff>428625</xdr:rowOff>
    </xdr:from>
    <xdr:ext cx="1438275" cy="1438275"/>
    <xdr:pic>
      <xdr:nvPicPr>
        <xdr:cNvPr id="306" name="/xl/media/image488.png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255</xdr:row>
      <xdr:rowOff>9525</xdr:rowOff>
    </xdr:from>
    <xdr:ext cx="571500" cy="571500"/>
    <xdr:pic>
      <xdr:nvPicPr>
        <xdr:cNvPr id="307" name="/xl/media/image489.png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255</xdr:row>
      <xdr:rowOff>9525</xdr:rowOff>
    </xdr:from>
    <xdr:ext cx="571500" cy="571500"/>
    <xdr:pic>
      <xdr:nvPicPr>
        <xdr:cNvPr id="308" name="/xl/media/image490.png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260</xdr:row>
      <xdr:rowOff>428625</xdr:rowOff>
    </xdr:from>
    <xdr:ext cx="1438275" cy="1438275"/>
    <xdr:pic>
      <xdr:nvPicPr>
        <xdr:cNvPr id="309" name="/xl/media/image486.png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262</xdr:row>
      <xdr:rowOff>9525</xdr:rowOff>
    </xdr:from>
    <xdr:ext cx="571500" cy="571500"/>
    <xdr:pic>
      <xdr:nvPicPr>
        <xdr:cNvPr id="310" name="/xl/media/image489.png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262</xdr:row>
      <xdr:rowOff>9525</xdr:rowOff>
    </xdr:from>
    <xdr:ext cx="571500" cy="571500"/>
    <xdr:pic>
      <xdr:nvPicPr>
        <xdr:cNvPr id="311" name="/xl/media/image490.png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267</xdr:row>
      <xdr:rowOff>428625</xdr:rowOff>
    </xdr:from>
    <xdr:ext cx="1438275" cy="1438275"/>
    <xdr:pic>
      <xdr:nvPicPr>
        <xdr:cNvPr id="312" name="/xl/media/image487.png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269</xdr:row>
      <xdr:rowOff>9525</xdr:rowOff>
    </xdr:from>
    <xdr:ext cx="571500" cy="571500"/>
    <xdr:pic>
      <xdr:nvPicPr>
        <xdr:cNvPr id="313" name="/xl/media/image489.png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269</xdr:row>
      <xdr:rowOff>9525</xdr:rowOff>
    </xdr:from>
    <xdr:ext cx="571500" cy="571500"/>
    <xdr:pic>
      <xdr:nvPicPr>
        <xdr:cNvPr id="314" name="/xl/media/image490.png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5</xdr:col>
      <xdr:colOff>12700</xdr:colOff>
      <xdr:row>1</xdr:row>
      <xdr:rowOff>12700</xdr:rowOff>
    </xdr:from>
    <xdr:to>
      <xdr:col>7</xdr:col>
      <xdr:colOff>673100</xdr:colOff>
      <xdr:row>1</xdr:row>
      <xdr:rowOff>168275</xdr:rowOff>
    </xdr:to>
    <xdr:sp macro="[0]!SelectBarterOffer" textlink="">
      <xdr:nvSpPr>
        <xdr:cNvPr id="377" name="BarterBtn_5_2_1" descr="7|2|1">
          <a:extLst>
            <a:ext uri="{FF2B5EF4-FFF2-40B4-BE49-F238E27FC236}">
              <a16:creationId xmlns:a16="http://schemas.microsoft.com/office/drawing/2014/main" id="{D8398F37-FEDF-C67C-CE92-CB725B162B03}"/>
            </a:ext>
          </a:extLst>
        </xdr:cNvPr>
        <xdr:cNvSpPr/>
      </xdr:nvSpPr>
      <xdr:spPr>
        <a:xfrm>
          <a:off x="59563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</xdr:row>
      <xdr:rowOff>12700</xdr:rowOff>
    </xdr:from>
    <xdr:to>
      <xdr:col>10</xdr:col>
      <xdr:colOff>673100</xdr:colOff>
      <xdr:row>1</xdr:row>
      <xdr:rowOff>168275</xdr:rowOff>
    </xdr:to>
    <xdr:sp macro="[0]!SelectBarterOffer" textlink="">
      <xdr:nvSpPr>
        <xdr:cNvPr id="378" name="BarterBtn_5_2_2" descr="7|2|2">
          <a:extLst>
            <a:ext uri="{FF2B5EF4-FFF2-40B4-BE49-F238E27FC236}">
              <a16:creationId xmlns:a16="http://schemas.microsoft.com/office/drawing/2014/main" id="{AE7FA03F-F82B-1730-98AD-7A55C8571A22}"/>
            </a:ext>
          </a:extLst>
        </xdr:cNvPr>
        <xdr:cNvSpPr/>
      </xdr:nvSpPr>
      <xdr:spPr>
        <a:xfrm>
          <a:off x="80137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</xdr:row>
      <xdr:rowOff>12700</xdr:rowOff>
    </xdr:from>
    <xdr:to>
      <xdr:col>7</xdr:col>
      <xdr:colOff>673100</xdr:colOff>
      <xdr:row>8</xdr:row>
      <xdr:rowOff>168275</xdr:rowOff>
    </xdr:to>
    <xdr:sp macro="[0]!SelectBarterOffer" textlink="">
      <xdr:nvSpPr>
        <xdr:cNvPr id="379" name="BarterBtn_5_9_1" descr="7|9|1">
          <a:extLst>
            <a:ext uri="{FF2B5EF4-FFF2-40B4-BE49-F238E27FC236}">
              <a16:creationId xmlns:a16="http://schemas.microsoft.com/office/drawing/2014/main" id="{C90DC9A1-4CC2-70AA-BBF4-48A21A4200E1}"/>
            </a:ext>
          </a:extLst>
        </xdr:cNvPr>
        <xdr:cNvSpPr/>
      </xdr:nvSpPr>
      <xdr:spPr>
        <a:xfrm>
          <a:off x="5956300" y="3117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15</xdr:row>
      <xdr:rowOff>12700</xdr:rowOff>
    </xdr:from>
    <xdr:to>
      <xdr:col>7</xdr:col>
      <xdr:colOff>673100</xdr:colOff>
      <xdr:row>15</xdr:row>
      <xdr:rowOff>168275</xdr:rowOff>
    </xdr:to>
    <xdr:sp macro="[0]!SelectBarterOffer" textlink="">
      <xdr:nvSpPr>
        <xdr:cNvPr id="380" name="BarterBtn_5_16_1" descr="7|16|1">
          <a:extLst>
            <a:ext uri="{FF2B5EF4-FFF2-40B4-BE49-F238E27FC236}">
              <a16:creationId xmlns:a16="http://schemas.microsoft.com/office/drawing/2014/main" id="{836CDDFD-A261-E153-FE80-179EF97465D1}"/>
            </a:ext>
          </a:extLst>
        </xdr:cNvPr>
        <xdr:cNvSpPr/>
      </xdr:nvSpPr>
      <xdr:spPr>
        <a:xfrm>
          <a:off x="5956300" y="5870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15</xdr:row>
      <xdr:rowOff>12700</xdr:rowOff>
    </xdr:from>
    <xdr:to>
      <xdr:col>10</xdr:col>
      <xdr:colOff>673100</xdr:colOff>
      <xdr:row>15</xdr:row>
      <xdr:rowOff>168275</xdr:rowOff>
    </xdr:to>
    <xdr:sp macro="[0]!SelectBarterOffer" textlink="">
      <xdr:nvSpPr>
        <xdr:cNvPr id="381" name="BarterBtn_5_16_2" descr="7|16|2">
          <a:extLst>
            <a:ext uri="{FF2B5EF4-FFF2-40B4-BE49-F238E27FC236}">
              <a16:creationId xmlns:a16="http://schemas.microsoft.com/office/drawing/2014/main" id="{15D778DE-E01C-85A7-52E9-60178FCF2737}"/>
            </a:ext>
          </a:extLst>
        </xdr:cNvPr>
        <xdr:cNvSpPr/>
      </xdr:nvSpPr>
      <xdr:spPr>
        <a:xfrm>
          <a:off x="8013700" y="5870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22</xdr:row>
      <xdr:rowOff>12700</xdr:rowOff>
    </xdr:from>
    <xdr:to>
      <xdr:col>7</xdr:col>
      <xdr:colOff>673100</xdr:colOff>
      <xdr:row>22</xdr:row>
      <xdr:rowOff>168275</xdr:rowOff>
    </xdr:to>
    <xdr:sp macro="[0]!SelectBarterOffer" textlink="">
      <xdr:nvSpPr>
        <xdr:cNvPr id="382" name="BarterBtn_5_23_1" descr="7|23|1">
          <a:extLst>
            <a:ext uri="{FF2B5EF4-FFF2-40B4-BE49-F238E27FC236}">
              <a16:creationId xmlns:a16="http://schemas.microsoft.com/office/drawing/2014/main" id="{A722641B-B3F7-1BCA-60F5-34F1E7AE2167}"/>
            </a:ext>
          </a:extLst>
        </xdr:cNvPr>
        <xdr:cNvSpPr/>
      </xdr:nvSpPr>
      <xdr:spPr>
        <a:xfrm>
          <a:off x="5956300" y="8623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29</xdr:row>
      <xdr:rowOff>12700</xdr:rowOff>
    </xdr:from>
    <xdr:to>
      <xdr:col>7</xdr:col>
      <xdr:colOff>673100</xdr:colOff>
      <xdr:row>29</xdr:row>
      <xdr:rowOff>168275</xdr:rowOff>
    </xdr:to>
    <xdr:sp macro="[0]!SelectBarterOffer" textlink="">
      <xdr:nvSpPr>
        <xdr:cNvPr id="383" name="BarterBtn_5_30_1" descr="7|30|1">
          <a:extLst>
            <a:ext uri="{FF2B5EF4-FFF2-40B4-BE49-F238E27FC236}">
              <a16:creationId xmlns:a16="http://schemas.microsoft.com/office/drawing/2014/main" id="{D4962937-A3AF-E961-E9BE-65979BB3E4C7}"/>
            </a:ext>
          </a:extLst>
        </xdr:cNvPr>
        <xdr:cNvSpPr/>
      </xdr:nvSpPr>
      <xdr:spPr>
        <a:xfrm>
          <a:off x="5956300" y="11376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</xdr:row>
      <xdr:rowOff>12700</xdr:rowOff>
    </xdr:from>
    <xdr:to>
      <xdr:col>7</xdr:col>
      <xdr:colOff>673100</xdr:colOff>
      <xdr:row>36</xdr:row>
      <xdr:rowOff>168275</xdr:rowOff>
    </xdr:to>
    <xdr:sp macro="[0]!SelectBarterOffer" textlink="">
      <xdr:nvSpPr>
        <xdr:cNvPr id="416" name="BarterBtn_5_37_1" descr="7|37|1">
          <a:extLst>
            <a:ext uri="{FF2B5EF4-FFF2-40B4-BE49-F238E27FC236}">
              <a16:creationId xmlns:a16="http://schemas.microsoft.com/office/drawing/2014/main" id="{4945D61D-8FE1-7EF1-6456-1C68D8F6DBA5}"/>
            </a:ext>
          </a:extLst>
        </xdr:cNvPr>
        <xdr:cNvSpPr/>
      </xdr:nvSpPr>
      <xdr:spPr>
        <a:xfrm>
          <a:off x="5956300" y="14128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</xdr:row>
      <xdr:rowOff>12700</xdr:rowOff>
    </xdr:from>
    <xdr:to>
      <xdr:col>7</xdr:col>
      <xdr:colOff>673100</xdr:colOff>
      <xdr:row>43</xdr:row>
      <xdr:rowOff>168275</xdr:rowOff>
    </xdr:to>
    <xdr:sp macro="[0]!SelectBarterOffer" textlink="">
      <xdr:nvSpPr>
        <xdr:cNvPr id="417" name="BarterBtn_5_44_1" descr="7|44|1">
          <a:extLst>
            <a:ext uri="{FF2B5EF4-FFF2-40B4-BE49-F238E27FC236}">
              <a16:creationId xmlns:a16="http://schemas.microsoft.com/office/drawing/2014/main" id="{8D0D91A5-489E-2932-0B43-93D20E310EE9}"/>
            </a:ext>
          </a:extLst>
        </xdr:cNvPr>
        <xdr:cNvSpPr/>
      </xdr:nvSpPr>
      <xdr:spPr>
        <a:xfrm>
          <a:off x="5956300" y="16881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</xdr:row>
      <xdr:rowOff>12700</xdr:rowOff>
    </xdr:from>
    <xdr:to>
      <xdr:col>7</xdr:col>
      <xdr:colOff>673100</xdr:colOff>
      <xdr:row>50</xdr:row>
      <xdr:rowOff>168275</xdr:rowOff>
    </xdr:to>
    <xdr:sp macro="[0]!SelectBarterOffer" textlink="">
      <xdr:nvSpPr>
        <xdr:cNvPr id="418" name="BarterBtn_5_51_1" descr="7|51|1">
          <a:extLst>
            <a:ext uri="{FF2B5EF4-FFF2-40B4-BE49-F238E27FC236}">
              <a16:creationId xmlns:a16="http://schemas.microsoft.com/office/drawing/2014/main" id="{D13D1B4D-61B9-85BC-0CA5-181CE93F349C}"/>
            </a:ext>
          </a:extLst>
        </xdr:cNvPr>
        <xdr:cNvSpPr/>
      </xdr:nvSpPr>
      <xdr:spPr>
        <a:xfrm>
          <a:off x="59563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50</xdr:row>
      <xdr:rowOff>12700</xdr:rowOff>
    </xdr:from>
    <xdr:to>
      <xdr:col>10</xdr:col>
      <xdr:colOff>673100</xdr:colOff>
      <xdr:row>50</xdr:row>
      <xdr:rowOff>168275</xdr:rowOff>
    </xdr:to>
    <xdr:sp macro="[0]!SelectBarterOffer" textlink="">
      <xdr:nvSpPr>
        <xdr:cNvPr id="419" name="BarterBtn_5_51_2" descr="7|51|2">
          <a:extLst>
            <a:ext uri="{FF2B5EF4-FFF2-40B4-BE49-F238E27FC236}">
              <a16:creationId xmlns:a16="http://schemas.microsoft.com/office/drawing/2014/main" id="{6BD4A1C9-5E90-B093-F623-8AE9D3A23388}"/>
            </a:ext>
          </a:extLst>
        </xdr:cNvPr>
        <xdr:cNvSpPr/>
      </xdr:nvSpPr>
      <xdr:spPr>
        <a:xfrm>
          <a:off x="80137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57</xdr:row>
      <xdr:rowOff>12700</xdr:rowOff>
    </xdr:from>
    <xdr:to>
      <xdr:col>7</xdr:col>
      <xdr:colOff>673100</xdr:colOff>
      <xdr:row>57</xdr:row>
      <xdr:rowOff>168275</xdr:rowOff>
    </xdr:to>
    <xdr:sp macro="[0]!SelectBarterOffer" textlink="">
      <xdr:nvSpPr>
        <xdr:cNvPr id="420" name="BarterBtn_5_58_1" descr="7|58|1">
          <a:extLst>
            <a:ext uri="{FF2B5EF4-FFF2-40B4-BE49-F238E27FC236}">
              <a16:creationId xmlns:a16="http://schemas.microsoft.com/office/drawing/2014/main" id="{C85332B5-981B-EB58-3D4F-A60B4CA43DC1}"/>
            </a:ext>
          </a:extLst>
        </xdr:cNvPr>
        <xdr:cNvSpPr/>
      </xdr:nvSpPr>
      <xdr:spPr>
        <a:xfrm>
          <a:off x="59563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57</xdr:row>
      <xdr:rowOff>12700</xdr:rowOff>
    </xdr:from>
    <xdr:to>
      <xdr:col>10</xdr:col>
      <xdr:colOff>673100</xdr:colOff>
      <xdr:row>57</xdr:row>
      <xdr:rowOff>168275</xdr:rowOff>
    </xdr:to>
    <xdr:sp macro="[0]!SelectBarterOffer" textlink="">
      <xdr:nvSpPr>
        <xdr:cNvPr id="421" name="BarterBtn_5_58_2" descr="7|58|2">
          <a:extLst>
            <a:ext uri="{FF2B5EF4-FFF2-40B4-BE49-F238E27FC236}">
              <a16:creationId xmlns:a16="http://schemas.microsoft.com/office/drawing/2014/main" id="{BE18132E-9B8C-60CD-3B08-64A202A2A4AB}"/>
            </a:ext>
          </a:extLst>
        </xdr:cNvPr>
        <xdr:cNvSpPr/>
      </xdr:nvSpPr>
      <xdr:spPr>
        <a:xfrm>
          <a:off x="80137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64</xdr:row>
      <xdr:rowOff>12700</xdr:rowOff>
    </xdr:from>
    <xdr:to>
      <xdr:col>7</xdr:col>
      <xdr:colOff>673100</xdr:colOff>
      <xdr:row>64</xdr:row>
      <xdr:rowOff>168275</xdr:rowOff>
    </xdr:to>
    <xdr:sp macro="[0]!SelectBarterOffer" textlink="">
      <xdr:nvSpPr>
        <xdr:cNvPr id="422" name="BarterBtn_5_65_1" descr="7|65|1">
          <a:extLst>
            <a:ext uri="{FF2B5EF4-FFF2-40B4-BE49-F238E27FC236}">
              <a16:creationId xmlns:a16="http://schemas.microsoft.com/office/drawing/2014/main" id="{25313543-0E13-A75C-5C30-4652AEC00411}"/>
            </a:ext>
          </a:extLst>
        </xdr:cNvPr>
        <xdr:cNvSpPr/>
      </xdr:nvSpPr>
      <xdr:spPr>
        <a:xfrm>
          <a:off x="59563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64</xdr:row>
      <xdr:rowOff>12700</xdr:rowOff>
    </xdr:from>
    <xdr:to>
      <xdr:col>10</xdr:col>
      <xdr:colOff>673100</xdr:colOff>
      <xdr:row>64</xdr:row>
      <xdr:rowOff>168275</xdr:rowOff>
    </xdr:to>
    <xdr:sp macro="[0]!SelectBarterOffer" textlink="">
      <xdr:nvSpPr>
        <xdr:cNvPr id="423" name="BarterBtn_5_65_2" descr="7|65|2">
          <a:extLst>
            <a:ext uri="{FF2B5EF4-FFF2-40B4-BE49-F238E27FC236}">
              <a16:creationId xmlns:a16="http://schemas.microsoft.com/office/drawing/2014/main" id="{24A42994-9A0D-C671-0AB4-C7FDFFBA5F75}"/>
            </a:ext>
          </a:extLst>
        </xdr:cNvPr>
        <xdr:cNvSpPr/>
      </xdr:nvSpPr>
      <xdr:spPr>
        <a:xfrm>
          <a:off x="80137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71</xdr:row>
      <xdr:rowOff>12700</xdr:rowOff>
    </xdr:from>
    <xdr:to>
      <xdr:col>7</xdr:col>
      <xdr:colOff>673100</xdr:colOff>
      <xdr:row>71</xdr:row>
      <xdr:rowOff>168275</xdr:rowOff>
    </xdr:to>
    <xdr:sp macro="[0]!SelectBarterOffer" textlink="">
      <xdr:nvSpPr>
        <xdr:cNvPr id="424" name="BarterBtn_5_72_1" descr="7|72|1">
          <a:extLst>
            <a:ext uri="{FF2B5EF4-FFF2-40B4-BE49-F238E27FC236}">
              <a16:creationId xmlns:a16="http://schemas.microsoft.com/office/drawing/2014/main" id="{54295CBF-07F9-A852-C38B-E11E6E2202CE}"/>
            </a:ext>
          </a:extLst>
        </xdr:cNvPr>
        <xdr:cNvSpPr/>
      </xdr:nvSpPr>
      <xdr:spPr>
        <a:xfrm>
          <a:off x="59563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71</xdr:row>
      <xdr:rowOff>12700</xdr:rowOff>
    </xdr:from>
    <xdr:to>
      <xdr:col>10</xdr:col>
      <xdr:colOff>673100</xdr:colOff>
      <xdr:row>71</xdr:row>
      <xdr:rowOff>168275</xdr:rowOff>
    </xdr:to>
    <xdr:sp macro="[0]!SelectBarterOffer" textlink="">
      <xdr:nvSpPr>
        <xdr:cNvPr id="425" name="BarterBtn_5_72_2" descr="7|72|2">
          <a:extLst>
            <a:ext uri="{FF2B5EF4-FFF2-40B4-BE49-F238E27FC236}">
              <a16:creationId xmlns:a16="http://schemas.microsoft.com/office/drawing/2014/main" id="{BE2E533D-64F2-597C-409C-D654253BD185}"/>
            </a:ext>
          </a:extLst>
        </xdr:cNvPr>
        <xdr:cNvSpPr/>
      </xdr:nvSpPr>
      <xdr:spPr>
        <a:xfrm>
          <a:off x="80137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78</xdr:row>
      <xdr:rowOff>12700</xdr:rowOff>
    </xdr:from>
    <xdr:to>
      <xdr:col>7</xdr:col>
      <xdr:colOff>673100</xdr:colOff>
      <xdr:row>78</xdr:row>
      <xdr:rowOff>168275</xdr:rowOff>
    </xdr:to>
    <xdr:sp macro="[0]!SelectBarterOffer" textlink="">
      <xdr:nvSpPr>
        <xdr:cNvPr id="426" name="BarterBtn_5_79_1" descr="7|79|1">
          <a:extLst>
            <a:ext uri="{FF2B5EF4-FFF2-40B4-BE49-F238E27FC236}">
              <a16:creationId xmlns:a16="http://schemas.microsoft.com/office/drawing/2014/main" id="{CE1D5FF4-12B4-1275-83EB-95EDD1FDB6E5}"/>
            </a:ext>
          </a:extLst>
        </xdr:cNvPr>
        <xdr:cNvSpPr/>
      </xdr:nvSpPr>
      <xdr:spPr>
        <a:xfrm>
          <a:off x="59563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78</xdr:row>
      <xdr:rowOff>12700</xdr:rowOff>
    </xdr:from>
    <xdr:to>
      <xdr:col>10</xdr:col>
      <xdr:colOff>673100</xdr:colOff>
      <xdr:row>78</xdr:row>
      <xdr:rowOff>168275</xdr:rowOff>
    </xdr:to>
    <xdr:sp macro="[0]!SelectBarterOffer" textlink="">
      <xdr:nvSpPr>
        <xdr:cNvPr id="427" name="BarterBtn_5_79_2" descr="7|79|2">
          <a:extLst>
            <a:ext uri="{FF2B5EF4-FFF2-40B4-BE49-F238E27FC236}">
              <a16:creationId xmlns:a16="http://schemas.microsoft.com/office/drawing/2014/main" id="{C63FF970-39B8-AB46-07C3-644C1CF658E2}"/>
            </a:ext>
          </a:extLst>
        </xdr:cNvPr>
        <xdr:cNvSpPr/>
      </xdr:nvSpPr>
      <xdr:spPr>
        <a:xfrm>
          <a:off x="80137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85</xdr:row>
      <xdr:rowOff>12700</xdr:rowOff>
    </xdr:from>
    <xdr:to>
      <xdr:col>7</xdr:col>
      <xdr:colOff>673100</xdr:colOff>
      <xdr:row>85</xdr:row>
      <xdr:rowOff>168275</xdr:rowOff>
    </xdr:to>
    <xdr:sp macro="[0]!SelectBarterOffer" textlink="">
      <xdr:nvSpPr>
        <xdr:cNvPr id="428" name="BarterBtn_5_86_1" descr="7|86|1">
          <a:extLst>
            <a:ext uri="{FF2B5EF4-FFF2-40B4-BE49-F238E27FC236}">
              <a16:creationId xmlns:a16="http://schemas.microsoft.com/office/drawing/2014/main" id="{D310882C-236F-ABDC-1A04-0FB4B245B888}"/>
            </a:ext>
          </a:extLst>
        </xdr:cNvPr>
        <xdr:cNvSpPr/>
      </xdr:nvSpPr>
      <xdr:spPr>
        <a:xfrm>
          <a:off x="59563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85</xdr:row>
      <xdr:rowOff>12700</xdr:rowOff>
    </xdr:from>
    <xdr:to>
      <xdr:col>10</xdr:col>
      <xdr:colOff>673100</xdr:colOff>
      <xdr:row>85</xdr:row>
      <xdr:rowOff>168275</xdr:rowOff>
    </xdr:to>
    <xdr:sp macro="[0]!SelectBarterOffer" textlink="">
      <xdr:nvSpPr>
        <xdr:cNvPr id="429" name="BarterBtn_5_86_2" descr="7|86|2">
          <a:extLst>
            <a:ext uri="{FF2B5EF4-FFF2-40B4-BE49-F238E27FC236}">
              <a16:creationId xmlns:a16="http://schemas.microsoft.com/office/drawing/2014/main" id="{954440BE-EF50-5A21-5DB0-65AFC20FBD24}"/>
            </a:ext>
          </a:extLst>
        </xdr:cNvPr>
        <xdr:cNvSpPr/>
      </xdr:nvSpPr>
      <xdr:spPr>
        <a:xfrm>
          <a:off x="80137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92</xdr:row>
      <xdr:rowOff>12700</xdr:rowOff>
    </xdr:from>
    <xdr:to>
      <xdr:col>7</xdr:col>
      <xdr:colOff>673100</xdr:colOff>
      <xdr:row>92</xdr:row>
      <xdr:rowOff>168275</xdr:rowOff>
    </xdr:to>
    <xdr:sp macro="[0]!SelectBarterOffer" textlink="">
      <xdr:nvSpPr>
        <xdr:cNvPr id="430" name="BarterBtn_5_93_1" descr="7|93|1">
          <a:extLst>
            <a:ext uri="{FF2B5EF4-FFF2-40B4-BE49-F238E27FC236}">
              <a16:creationId xmlns:a16="http://schemas.microsoft.com/office/drawing/2014/main" id="{A3C715BD-7166-2A95-AF6A-0F9FD486FB5B}"/>
            </a:ext>
          </a:extLst>
        </xdr:cNvPr>
        <xdr:cNvSpPr/>
      </xdr:nvSpPr>
      <xdr:spPr>
        <a:xfrm>
          <a:off x="59563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92</xdr:row>
      <xdr:rowOff>12700</xdr:rowOff>
    </xdr:from>
    <xdr:to>
      <xdr:col>10</xdr:col>
      <xdr:colOff>673100</xdr:colOff>
      <xdr:row>92</xdr:row>
      <xdr:rowOff>168275</xdr:rowOff>
    </xdr:to>
    <xdr:sp macro="[0]!SelectBarterOffer" textlink="">
      <xdr:nvSpPr>
        <xdr:cNvPr id="431" name="BarterBtn_5_93_2" descr="7|93|2">
          <a:extLst>
            <a:ext uri="{FF2B5EF4-FFF2-40B4-BE49-F238E27FC236}">
              <a16:creationId xmlns:a16="http://schemas.microsoft.com/office/drawing/2014/main" id="{ADD7EDBE-B3A6-708A-570B-0F1A47CACCA0}"/>
            </a:ext>
          </a:extLst>
        </xdr:cNvPr>
        <xdr:cNvSpPr/>
      </xdr:nvSpPr>
      <xdr:spPr>
        <a:xfrm>
          <a:off x="80137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99</xdr:row>
      <xdr:rowOff>12700</xdr:rowOff>
    </xdr:from>
    <xdr:to>
      <xdr:col>7</xdr:col>
      <xdr:colOff>673100</xdr:colOff>
      <xdr:row>99</xdr:row>
      <xdr:rowOff>168275</xdr:rowOff>
    </xdr:to>
    <xdr:sp macro="[0]!SelectBarterOffer" textlink="">
      <xdr:nvSpPr>
        <xdr:cNvPr id="432" name="BarterBtn_5_100_1" descr="7|100|1">
          <a:extLst>
            <a:ext uri="{FF2B5EF4-FFF2-40B4-BE49-F238E27FC236}">
              <a16:creationId xmlns:a16="http://schemas.microsoft.com/office/drawing/2014/main" id="{7410EC20-3922-FD57-5E3F-BDB71A58A4D0}"/>
            </a:ext>
          </a:extLst>
        </xdr:cNvPr>
        <xdr:cNvSpPr/>
      </xdr:nvSpPr>
      <xdr:spPr>
        <a:xfrm>
          <a:off x="59563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106</xdr:row>
      <xdr:rowOff>12700</xdr:rowOff>
    </xdr:from>
    <xdr:to>
      <xdr:col>7</xdr:col>
      <xdr:colOff>673100</xdr:colOff>
      <xdr:row>106</xdr:row>
      <xdr:rowOff>168275</xdr:rowOff>
    </xdr:to>
    <xdr:sp macro="[0]!SelectBarterOffer" textlink="">
      <xdr:nvSpPr>
        <xdr:cNvPr id="433" name="BarterBtn_5_107_1" descr="7|107|1">
          <a:extLst>
            <a:ext uri="{FF2B5EF4-FFF2-40B4-BE49-F238E27FC236}">
              <a16:creationId xmlns:a16="http://schemas.microsoft.com/office/drawing/2014/main" id="{A9370C9A-DCC0-5FC1-C9D6-F08D24E76349}"/>
            </a:ext>
          </a:extLst>
        </xdr:cNvPr>
        <xdr:cNvSpPr/>
      </xdr:nvSpPr>
      <xdr:spPr>
        <a:xfrm>
          <a:off x="59563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113</xdr:row>
      <xdr:rowOff>12700</xdr:rowOff>
    </xdr:from>
    <xdr:to>
      <xdr:col>7</xdr:col>
      <xdr:colOff>673100</xdr:colOff>
      <xdr:row>113</xdr:row>
      <xdr:rowOff>168275</xdr:rowOff>
    </xdr:to>
    <xdr:sp macro="[0]!SelectBarterOffer" textlink="">
      <xdr:nvSpPr>
        <xdr:cNvPr id="434" name="BarterBtn_5_114_1" descr="7|114|1">
          <a:extLst>
            <a:ext uri="{FF2B5EF4-FFF2-40B4-BE49-F238E27FC236}">
              <a16:creationId xmlns:a16="http://schemas.microsoft.com/office/drawing/2014/main" id="{18FA8835-45DF-AEB2-A754-A378CDB816BB}"/>
            </a:ext>
          </a:extLst>
        </xdr:cNvPr>
        <xdr:cNvSpPr/>
      </xdr:nvSpPr>
      <xdr:spPr>
        <a:xfrm>
          <a:off x="5956300" y="44408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120</xdr:row>
      <xdr:rowOff>12700</xdr:rowOff>
    </xdr:from>
    <xdr:to>
      <xdr:col>7</xdr:col>
      <xdr:colOff>673100</xdr:colOff>
      <xdr:row>120</xdr:row>
      <xdr:rowOff>168275</xdr:rowOff>
    </xdr:to>
    <xdr:sp macro="[0]!SelectBarterOffer" textlink="">
      <xdr:nvSpPr>
        <xdr:cNvPr id="463" name="BarterBtn_5_121_1" descr="7|121|1">
          <a:extLst>
            <a:ext uri="{FF2B5EF4-FFF2-40B4-BE49-F238E27FC236}">
              <a16:creationId xmlns:a16="http://schemas.microsoft.com/office/drawing/2014/main" id="{53D71868-38A8-553D-0045-EB46C927C978}"/>
            </a:ext>
          </a:extLst>
        </xdr:cNvPr>
        <xdr:cNvSpPr/>
      </xdr:nvSpPr>
      <xdr:spPr>
        <a:xfrm>
          <a:off x="5956300" y="47161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127</xdr:row>
      <xdr:rowOff>12700</xdr:rowOff>
    </xdr:from>
    <xdr:to>
      <xdr:col>7</xdr:col>
      <xdr:colOff>673100</xdr:colOff>
      <xdr:row>127</xdr:row>
      <xdr:rowOff>168275</xdr:rowOff>
    </xdr:to>
    <xdr:sp macro="[0]!SelectBarterOffer" textlink="">
      <xdr:nvSpPr>
        <xdr:cNvPr id="464" name="BarterBtn_5_128_1" descr="7|128|1">
          <a:extLst>
            <a:ext uri="{FF2B5EF4-FFF2-40B4-BE49-F238E27FC236}">
              <a16:creationId xmlns:a16="http://schemas.microsoft.com/office/drawing/2014/main" id="{B54E66F5-769D-591C-ED9E-4BAECF8D3873}"/>
            </a:ext>
          </a:extLst>
        </xdr:cNvPr>
        <xdr:cNvSpPr/>
      </xdr:nvSpPr>
      <xdr:spPr>
        <a:xfrm>
          <a:off x="5956300" y="49914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134</xdr:row>
      <xdr:rowOff>12700</xdr:rowOff>
    </xdr:from>
    <xdr:to>
      <xdr:col>7</xdr:col>
      <xdr:colOff>673100</xdr:colOff>
      <xdr:row>134</xdr:row>
      <xdr:rowOff>168275</xdr:rowOff>
    </xdr:to>
    <xdr:sp macro="[0]!SelectBarterOffer" textlink="">
      <xdr:nvSpPr>
        <xdr:cNvPr id="465" name="BarterBtn_5_135_1" descr="7|135|1">
          <a:extLst>
            <a:ext uri="{FF2B5EF4-FFF2-40B4-BE49-F238E27FC236}">
              <a16:creationId xmlns:a16="http://schemas.microsoft.com/office/drawing/2014/main" id="{6B0F8A26-99F2-B113-185D-5F5F40CF097B}"/>
            </a:ext>
          </a:extLst>
        </xdr:cNvPr>
        <xdr:cNvSpPr/>
      </xdr:nvSpPr>
      <xdr:spPr>
        <a:xfrm>
          <a:off x="5956300" y="52666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141</xdr:row>
      <xdr:rowOff>12700</xdr:rowOff>
    </xdr:from>
    <xdr:to>
      <xdr:col>7</xdr:col>
      <xdr:colOff>673100</xdr:colOff>
      <xdr:row>141</xdr:row>
      <xdr:rowOff>168275</xdr:rowOff>
    </xdr:to>
    <xdr:sp macro="[0]!SelectBarterOffer" textlink="">
      <xdr:nvSpPr>
        <xdr:cNvPr id="466" name="BarterBtn_5_142_1" descr="7|142|1">
          <a:extLst>
            <a:ext uri="{FF2B5EF4-FFF2-40B4-BE49-F238E27FC236}">
              <a16:creationId xmlns:a16="http://schemas.microsoft.com/office/drawing/2014/main" id="{55A196C9-9D41-D812-0E30-FD5D532CBE46}"/>
            </a:ext>
          </a:extLst>
        </xdr:cNvPr>
        <xdr:cNvSpPr/>
      </xdr:nvSpPr>
      <xdr:spPr>
        <a:xfrm>
          <a:off x="5956300" y="55419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148</xdr:row>
      <xdr:rowOff>12700</xdr:rowOff>
    </xdr:from>
    <xdr:to>
      <xdr:col>7</xdr:col>
      <xdr:colOff>673100</xdr:colOff>
      <xdr:row>148</xdr:row>
      <xdr:rowOff>168275</xdr:rowOff>
    </xdr:to>
    <xdr:sp macro="[0]!SelectBarterOffer" textlink="">
      <xdr:nvSpPr>
        <xdr:cNvPr id="467" name="BarterBtn_5_149_1" descr="7|149|1">
          <a:extLst>
            <a:ext uri="{FF2B5EF4-FFF2-40B4-BE49-F238E27FC236}">
              <a16:creationId xmlns:a16="http://schemas.microsoft.com/office/drawing/2014/main" id="{BB247723-F953-8676-C4AD-F492AB470DE1}"/>
            </a:ext>
          </a:extLst>
        </xdr:cNvPr>
        <xdr:cNvSpPr/>
      </xdr:nvSpPr>
      <xdr:spPr>
        <a:xfrm>
          <a:off x="59563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155</xdr:row>
      <xdr:rowOff>12700</xdr:rowOff>
    </xdr:from>
    <xdr:to>
      <xdr:col>7</xdr:col>
      <xdr:colOff>673100</xdr:colOff>
      <xdr:row>155</xdr:row>
      <xdr:rowOff>168275</xdr:rowOff>
    </xdr:to>
    <xdr:sp macro="[0]!SelectBarterOffer" textlink="">
      <xdr:nvSpPr>
        <xdr:cNvPr id="468" name="BarterBtn_5_156_1" descr="7|156|1">
          <a:extLst>
            <a:ext uri="{FF2B5EF4-FFF2-40B4-BE49-F238E27FC236}">
              <a16:creationId xmlns:a16="http://schemas.microsoft.com/office/drawing/2014/main" id="{05CE18AA-6314-D570-0DCE-DD1ACEFDAA03}"/>
            </a:ext>
          </a:extLst>
        </xdr:cNvPr>
        <xdr:cNvSpPr/>
      </xdr:nvSpPr>
      <xdr:spPr>
        <a:xfrm>
          <a:off x="59563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155</xdr:row>
      <xdr:rowOff>12700</xdr:rowOff>
    </xdr:from>
    <xdr:to>
      <xdr:col>10</xdr:col>
      <xdr:colOff>673100</xdr:colOff>
      <xdr:row>155</xdr:row>
      <xdr:rowOff>168275</xdr:rowOff>
    </xdr:to>
    <xdr:sp macro="[0]!SelectBarterOffer" textlink="">
      <xdr:nvSpPr>
        <xdr:cNvPr id="469" name="BarterBtn_5_156_2" descr="7|156|2">
          <a:extLst>
            <a:ext uri="{FF2B5EF4-FFF2-40B4-BE49-F238E27FC236}">
              <a16:creationId xmlns:a16="http://schemas.microsoft.com/office/drawing/2014/main" id="{1D990336-9F44-EFB0-FE6C-EC5EBFFB91E4}"/>
            </a:ext>
          </a:extLst>
        </xdr:cNvPr>
        <xdr:cNvSpPr/>
      </xdr:nvSpPr>
      <xdr:spPr>
        <a:xfrm>
          <a:off x="80137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162</xdr:row>
      <xdr:rowOff>12700</xdr:rowOff>
    </xdr:from>
    <xdr:to>
      <xdr:col>7</xdr:col>
      <xdr:colOff>673100</xdr:colOff>
      <xdr:row>162</xdr:row>
      <xdr:rowOff>168275</xdr:rowOff>
    </xdr:to>
    <xdr:sp macro="[0]!SelectBarterOffer" textlink="">
      <xdr:nvSpPr>
        <xdr:cNvPr id="470" name="BarterBtn_5_163_1" descr="7|163|1">
          <a:extLst>
            <a:ext uri="{FF2B5EF4-FFF2-40B4-BE49-F238E27FC236}">
              <a16:creationId xmlns:a16="http://schemas.microsoft.com/office/drawing/2014/main" id="{AE68A861-CF2C-3BF7-D1A8-87A4FDFD9F45}"/>
            </a:ext>
          </a:extLst>
        </xdr:cNvPr>
        <xdr:cNvSpPr/>
      </xdr:nvSpPr>
      <xdr:spPr>
        <a:xfrm>
          <a:off x="59563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162</xdr:row>
      <xdr:rowOff>12700</xdr:rowOff>
    </xdr:from>
    <xdr:to>
      <xdr:col>10</xdr:col>
      <xdr:colOff>673100</xdr:colOff>
      <xdr:row>162</xdr:row>
      <xdr:rowOff>168275</xdr:rowOff>
    </xdr:to>
    <xdr:sp macro="[0]!SelectBarterOffer" textlink="">
      <xdr:nvSpPr>
        <xdr:cNvPr id="471" name="BarterBtn_5_163_2" descr="7|163|2">
          <a:extLst>
            <a:ext uri="{FF2B5EF4-FFF2-40B4-BE49-F238E27FC236}">
              <a16:creationId xmlns:a16="http://schemas.microsoft.com/office/drawing/2014/main" id="{2400729C-D583-668E-CFB0-AA08C5AFF5EB}"/>
            </a:ext>
          </a:extLst>
        </xdr:cNvPr>
        <xdr:cNvSpPr/>
      </xdr:nvSpPr>
      <xdr:spPr>
        <a:xfrm>
          <a:off x="80137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169</xdr:row>
      <xdr:rowOff>12700</xdr:rowOff>
    </xdr:from>
    <xdr:to>
      <xdr:col>7</xdr:col>
      <xdr:colOff>673100</xdr:colOff>
      <xdr:row>169</xdr:row>
      <xdr:rowOff>168275</xdr:rowOff>
    </xdr:to>
    <xdr:sp macro="[0]!SelectBarterOffer" textlink="">
      <xdr:nvSpPr>
        <xdr:cNvPr id="472" name="BarterBtn_5_170_1" descr="7|170|1">
          <a:extLst>
            <a:ext uri="{FF2B5EF4-FFF2-40B4-BE49-F238E27FC236}">
              <a16:creationId xmlns:a16="http://schemas.microsoft.com/office/drawing/2014/main" id="{FCAB4F40-4198-FBBE-0AA3-7C02AB93C54B}"/>
            </a:ext>
          </a:extLst>
        </xdr:cNvPr>
        <xdr:cNvSpPr/>
      </xdr:nvSpPr>
      <xdr:spPr>
        <a:xfrm>
          <a:off x="59563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169</xdr:row>
      <xdr:rowOff>12700</xdr:rowOff>
    </xdr:from>
    <xdr:to>
      <xdr:col>10</xdr:col>
      <xdr:colOff>673100</xdr:colOff>
      <xdr:row>169</xdr:row>
      <xdr:rowOff>168275</xdr:rowOff>
    </xdr:to>
    <xdr:sp macro="[0]!SelectBarterOffer" textlink="">
      <xdr:nvSpPr>
        <xdr:cNvPr id="473" name="BarterBtn_5_170_2" descr="7|170|2">
          <a:extLst>
            <a:ext uri="{FF2B5EF4-FFF2-40B4-BE49-F238E27FC236}">
              <a16:creationId xmlns:a16="http://schemas.microsoft.com/office/drawing/2014/main" id="{19E9089E-A010-2AD9-A915-920D02FBC424}"/>
            </a:ext>
          </a:extLst>
        </xdr:cNvPr>
        <xdr:cNvSpPr/>
      </xdr:nvSpPr>
      <xdr:spPr>
        <a:xfrm>
          <a:off x="80137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176</xdr:row>
      <xdr:rowOff>12700</xdr:rowOff>
    </xdr:from>
    <xdr:to>
      <xdr:col>7</xdr:col>
      <xdr:colOff>673100</xdr:colOff>
      <xdr:row>176</xdr:row>
      <xdr:rowOff>168275</xdr:rowOff>
    </xdr:to>
    <xdr:sp macro="[0]!SelectBarterOffer" textlink="">
      <xdr:nvSpPr>
        <xdr:cNvPr id="474" name="BarterBtn_5_177_1" descr="7|177|1">
          <a:extLst>
            <a:ext uri="{FF2B5EF4-FFF2-40B4-BE49-F238E27FC236}">
              <a16:creationId xmlns:a16="http://schemas.microsoft.com/office/drawing/2014/main" id="{941DEDCE-DA69-E1C5-E1BF-5CD3EA8DE024}"/>
            </a:ext>
          </a:extLst>
        </xdr:cNvPr>
        <xdr:cNvSpPr/>
      </xdr:nvSpPr>
      <xdr:spPr>
        <a:xfrm>
          <a:off x="59563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176</xdr:row>
      <xdr:rowOff>12700</xdr:rowOff>
    </xdr:from>
    <xdr:to>
      <xdr:col>10</xdr:col>
      <xdr:colOff>673100</xdr:colOff>
      <xdr:row>176</xdr:row>
      <xdr:rowOff>168275</xdr:rowOff>
    </xdr:to>
    <xdr:sp macro="[0]!SelectBarterOffer" textlink="">
      <xdr:nvSpPr>
        <xdr:cNvPr id="475" name="BarterBtn_5_177_2" descr="7|177|2">
          <a:extLst>
            <a:ext uri="{FF2B5EF4-FFF2-40B4-BE49-F238E27FC236}">
              <a16:creationId xmlns:a16="http://schemas.microsoft.com/office/drawing/2014/main" id="{D84D5B1F-96A2-985D-0216-6B1906ABC0E7}"/>
            </a:ext>
          </a:extLst>
        </xdr:cNvPr>
        <xdr:cNvSpPr/>
      </xdr:nvSpPr>
      <xdr:spPr>
        <a:xfrm>
          <a:off x="80137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183</xdr:row>
      <xdr:rowOff>12700</xdr:rowOff>
    </xdr:from>
    <xdr:to>
      <xdr:col>7</xdr:col>
      <xdr:colOff>673100</xdr:colOff>
      <xdr:row>183</xdr:row>
      <xdr:rowOff>168275</xdr:rowOff>
    </xdr:to>
    <xdr:sp macro="[0]!SelectBarterOffer" textlink="">
      <xdr:nvSpPr>
        <xdr:cNvPr id="476" name="BarterBtn_5_184_1" descr="7|184|1">
          <a:extLst>
            <a:ext uri="{FF2B5EF4-FFF2-40B4-BE49-F238E27FC236}">
              <a16:creationId xmlns:a16="http://schemas.microsoft.com/office/drawing/2014/main" id="{0FDE135D-1EE7-7238-3688-E19E662BB1F2}"/>
            </a:ext>
          </a:extLst>
        </xdr:cNvPr>
        <xdr:cNvSpPr/>
      </xdr:nvSpPr>
      <xdr:spPr>
        <a:xfrm>
          <a:off x="59563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183</xdr:row>
      <xdr:rowOff>12700</xdr:rowOff>
    </xdr:from>
    <xdr:to>
      <xdr:col>10</xdr:col>
      <xdr:colOff>673100</xdr:colOff>
      <xdr:row>183</xdr:row>
      <xdr:rowOff>168275</xdr:rowOff>
    </xdr:to>
    <xdr:sp macro="[0]!SelectBarterOffer" textlink="">
      <xdr:nvSpPr>
        <xdr:cNvPr id="477" name="BarterBtn_5_184_2" descr="7|184|2">
          <a:extLst>
            <a:ext uri="{FF2B5EF4-FFF2-40B4-BE49-F238E27FC236}">
              <a16:creationId xmlns:a16="http://schemas.microsoft.com/office/drawing/2014/main" id="{016C0647-45A9-26F5-582F-3CC9F1B121F5}"/>
            </a:ext>
          </a:extLst>
        </xdr:cNvPr>
        <xdr:cNvSpPr/>
      </xdr:nvSpPr>
      <xdr:spPr>
        <a:xfrm>
          <a:off x="80137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190</xdr:row>
      <xdr:rowOff>12700</xdr:rowOff>
    </xdr:from>
    <xdr:to>
      <xdr:col>7</xdr:col>
      <xdr:colOff>673100</xdr:colOff>
      <xdr:row>190</xdr:row>
      <xdr:rowOff>168275</xdr:rowOff>
    </xdr:to>
    <xdr:sp macro="[0]!SelectBarterOffer" textlink="">
      <xdr:nvSpPr>
        <xdr:cNvPr id="478" name="BarterBtn_5_191_1" descr="7|191|1">
          <a:extLst>
            <a:ext uri="{FF2B5EF4-FFF2-40B4-BE49-F238E27FC236}">
              <a16:creationId xmlns:a16="http://schemas.microsoft.com/office/drawing/2014/main" id="{7D7EF479-7E1D-7BEA-E119-D7CBE4B578AD}"/>
            </a:ext>
          </a:extLst>
        </xdr:cNvPr>
        <xdr:cNvSpPr/>
      </xdr:nvSpPr>
      <xdr:spPr>
        <a:xfrm>
          <a:off x="59563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190</xdr:row>
      <xdr:rowOff>12700</xdr:rowOff>
    </xdr:from>
    <xdr:to>
      <xdr:col>10</xdr:col>
      <xdr:colOff>673100</xdr:colOff>
      <xdr:row>190</xdr:row>
      <xdr:rowOff>168275</xdr:rowOff>
    </xdr:to>
    <xdr:sp macro="[0]!SelectBarterOffer" textlink="">
      <xdr:nvSpPr>
        <xdr:cNvPr id="479" name="BarterBtn_5_191_2" descr="7|191|2">
          <a:extLst>
            <a:ext uri="{FF2B5EF4-FFF2-40B4-BE49-F238E27FC236}">
              <a16:creationId xmlns:a16="http://schemas.microsoft.com/office/drawing/2014/main" id="{999E331D-38F4-3820-7FE0-60B41D8E43A4}"/>
            </a:ext>
          </a:extLst>
        </xdr:cNvPr>
        <xdr:cNvSpPr/>
      </xdr:nvSpPr>
      <xdr:spPr>
        <a:xfrm>
          <a:off x="80137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197</xdr:row>
      <xdr:rowOff>12700</xdr:rowOff>
    </xdr:from>
    <xdr:to>
      <xdr:col>7</xdr:col>
      <xdr:colOff>673100</xdr:colOff>
      <xdr:row>197</xdr:row>
      <xdr:rowOff>168275</xdr:rowOff>
    </xdr:to>
    <xdr:sp macro="[0]!SelectBarterOffer" textlink="">
      <xdr:nvSpPr>
        <xdr:cNvPr id="480" name="BarterBtn_5_198_1" descr="7|198|1">
          <a:extLst>
            <a:ext uri="{FF2B5EF4-FFF2-40B4-BE49-F238E27FC236}">
              <a16:creationId xmlns:a16="http://schemas.microsoft.com/office/drawing/2014/main" id="{40C675E1-591E-5118-37DD-B47D30576772}"/>
            </a:ext>
          </a:extLst>
        </xdr:cNvPr>
        <xdr:cNvSpPr/>
      </xdr:nvSpPr>
      <xdr:spPr>
        <a:xfrm>
          <a:off x="59563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197</xdr:row>
      <xdr:rowOff>12700</xdr:rowOff>
    </xdr:from>
    <xdr:to>
      <xdr:col>10</xdr:col>
      <xdr:colOff>673100</xdr:colOff>
      <xdr:row>197</xdr:row>
      <xdr:rowOff>168275</xdr:rowOff>
    </xdr:to>
    <xdr:sp macro="[0]!SelectBarterOffer" textlink="">
      <xdr:nvSpPr>
        <xdr:cNvPr id="481" name="BarterBtn_5_198_2" descr="7|198|2">
          <a:extLst>
            <a:ext uri="{FF2B5EF4-FFF2-40B4-BE49-F238E27FC236}">
              <a16:creationId xmlns:a16="http://schemas.microsoft.com/office/drawing/2014/main" id="{6F0E5938-ECCA-EEF5-5F10-54AFE3086561}"/>
            </a:ext>
          </a:extLst>
        </xdr:cNvPr>
        <xdr:cNvSpPr/>
      </xdr:nvSpPr>
      <xdr:spPr>
        <a:xfrm>
          <a:off x="80137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204</xdr:row>
      <xdr:rowOff>12700</xdr:rowOff>
    </xdr:from>
    <xdr:to>
      <xdr:col>7</xdr:col>
      <xdr:colOff>673100</xdr:colOff>
      <xdr:row>204</xdr:row>
      <xdr:rowOff>168275</xdr:rowOff>
    </xdr:to>
    <xdr:sp macro="[0]!SelectBarterOffer" textlink="">
      <xdr:nvSpPr>
        <xdr:cNvPr id="482" name="BarterBtn_5_205_1" descr="7|205|1">
          <a:extLst>
            <a:ext uri="{FF2B5EF4-FFF2-40B4-BE49-F238E27FC236}">
              <a16:creationId xmlns:a16="http://schemas.microsoft.com/office/drawing/2014/main" id="{2F9D52E3-202F-807C-AF92-7C1B6E266161}"/>
            </a:ext>
          </a:extLst>
        </xdr:cNvPr>
        <xdr:cNvSpPr/>
      </xdr:nvSpPr>
      <xdr:spPr>
        <a:xfrm>
          <a:off x="59563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211</xdr:row>
      <xdr:rowOff>12700</xdr:rowOff>
    </xdr:from>
    <xdr:to>
      <xdr:col>7</xdr:col>
      <xdr:colOff>673100</xdr:colOff>
      <xdr:row>211</xdr:row>
      <xdr:rowOff>168275</xdr:rowOff>
    </xdr:to>
    <xdr:sp macro="[0]!SelectBarterOffer" textlink="">
      <xdr:nvSpPr>
        <xdr:cNvPr id="483" name="BarterBtn_5_212_1" descr="7|212|1">
          <a:extLst>
            <a:ext uri="{FF2B5EF4-FFF2-40B4-BE49-F238E27FC236}">
              <a16:creationId xmlns:a16="http://schemas.microsoft.com/office/drawing/2014/main" id="{3E87D304-F590-1BA3-25E2-C87024D7DD95}"/>
            </a:ext>
          </a:extLst>
        </xdr:cNvPr>
        <xdr:cNvSpPr/>
      </xdr:nvSpPr>
      <xdr:spPr>
        <a:xfrm>
          <a:off x="59563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218</xdr:row>
      <xdr:rowOff>12700</xdr:rowOff>
    </xdr:from>
    <xdr:to>
      <xdr:col>7</xdr:col>
      <xdr:colOff>673100</xdr:colOff>
      <xdr:row>218</xdr:row>
      <xdr:rowOff>168275</xdr:rowOff>
    </xdr:to>
    <xdr:sp macro="[0]!SelectBarterOffer" textlink="">
      <xdr:nvSpPr>
        <xdr:cNvPr id="484" name="BarterBtn_5_219_1" descr="7|219|1">
          <a:extLst>
            <a:ext uri="{FF2B5EF4-FFF2-40B4-BE49-F238E27FC236}">
              <a16:creationId xmlns:a16="http://schemas.microsoft.com/office/drawing/2014/main" id="{B541C041-1D90-C0FC-0C0B-13DE1C8250D2}"/>
            </a:ext>
          </a:extLst>
        </xdr:cNvPr>
        <xdr:cNvSpPr/>
      </xdr:nvSpPr>
      <xdr:spPr>
        <a:xfrm>
          <a:off x="59563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225</xdr:row>
      <xdr:rowOff>12700</xdr:rowOff>
    </xdr:from>
    <xdr:to>
      <xdr:col>7</xdr:col>
      <xdr:colOff>673100</xdr:colOff>
      <xdr:row>225</xdr:row>
      <xdr:rowOff>168275</xdr:rowOff>
    </xdr:to>
    <xdr:sp macro="[0]!SelectBarterOffer" textlink="">
      <xdr:nvSpPr>
        <xdr:cNvPr id="485" name="BarterBtn_5_226_1" descr="7|226|1">
          <a:extLst>
            <a:ext uri="{FF2B5EF4-FFF2-40B4-BE49-F238E27FC236}">
              <a16:creationId xmlns:a16="http://schemas.microsoft.com/office/drawing/2014/main" id="{0CE7CE24-F239-D929-1C6E-C9B1B155E9D8}"/>
            </a:ext>
          </a:extLst>
        </xdr:cNvPr>
        <xdr:cNvSpPr/>
      </xdr:nvSpPr>
      <xdr:spPr>
        <a:xfrm>
          <a:off x="59563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232</xdr:row>
      <xdr:rowOff>12700</xdr:rowOff>
    </xdr:from>
    <xdr:to>
      <xdr:col>7</xdr:col>
      <xdr:colOff>673100</xdr:colOff>
      <xdr:row>232</xdr:row>
      <xdr:rowOff>168275</xdr:rowOff>
    </xdr:to>
    <xdr:sp macro="[0]!SelectBarterOffer" textlink="">
      <xdr:nvSpPr>
        <xdr:cNvPr id="486" name="BarterBtn_5_233_1" descr="7|233|1">
          <a:extLst>
            <a:ext uri="{FF2B5EF4-FFF2-40B4-BE49-F238E27FC236}">
              <a16:creationId xmlns:a16="http://schemas.microsoft.com/office/drawing/2014/main" id="{63A2D24F-5CB7-07E3-894E-1B0580ACDB37}"/>
            </a:ext>
          </a:extLst>
        </xdr:cNvPr>
        <xdr:cNvSpPr/>
      </xdr:nvSpPr>
      <xdr:spPr>
        <a:xfrm>
          <a:off x="59563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232</xdr:row>
      <xdr:rowOff>12700</xdr:rowOff>
    </xdr:from>
    <xdr:to>
      <xdr:col>10</xdr:col>
      <xdr:colOff>673100</xdr:colOff>
      <xdr:row>232</xdr:row>
      <xdr:rowOff>168275</xdr:rowOff>
    </xdr:to>
    <xdr:sp macro="[0]!SelectBarterOffer" textlink="">
      <xdr:nvSpPr>
        <xdr:cNvPr id="487" name="BarterBtn_5_233_2" descr="7|233|2">
          <a:extLst>
            <a:ext uri="{FF2B5EF4-FFF2-40B4-BE49-F238E27FC236}">
              <a16:creationId xmlns:a16="http://schemas.microsoft.com/office/drawing/2014/main" id="{D536E661-4FFE-3AAF-1C95-F66C66D9D0F6}"/>
            </a:ext>
          </a:extLst>
        </xdr:cNvPr>
        <xdr:cNvSpPr/>
      </xdr:nvSpPr>
      <xdr:spPr>
        <a:xfrm>
          <a:off x="80137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239</xdr:row>
      <xdr:rowOff>12700</xdr:rowOff>
    </xdr:from>
    <xdr:to>
      <xdr:col>7</xdr:col>
      <xdr:colOff>673100</xdr:colOff>
      <xdr:row>239</xdr:row>
      <xdr:rowOff>168275</xdr:rowOff>
    </xdr:to>
    <xdr:sp macro="[0]!SelectBarterOffer" textlink="">
      <xdr:nvSpPr>
        <xdr:cNvPr id="488" name="BarterBtn_5_240_1" descr="7|240|1">
          <a:extLst>
            <a:ext uri="{FF2B5EF4-FFF2-40B4-BE49-F238E27FC236}">
              <a16:creationId xmlns:a16="http://schemas.microsoft.com/office/drawing/2014/main" id="{480D436F-E02C-8E2F-38BF-810685E0BCE6}"/>
            </a:ext>
          </a:extLst>
        </xdr:cNvPr>
        <xdr:cNvSpPr/>
      </xdr:nvSpPr>
      <xdr:spPr>
        <a:xfrm>
          <a:off x="59563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239</xdr:row>
      <xdr:rowOff>12700</xdr:rowOff>
    </xdr:from>
    <xdr:to>
      <xdr:col>10</xdr:col>
      <xdr:colOff>673100</xdr:colOff>
      <xdr:row>239</xdr:row>
      <xdr:rowOff>168275</xdr:rowOff>
    </xdr:to>
    <xdr:sp macro="[0]!SelectBarterOffer" textlink="">
      <xdr:nvSpPr>
        <xdr:cNvPr id="489" name="BarterBtn_5_240_2" descr="7|240|2">
          <a:extLst>
            <a:ext uri="{FF2B5EF4-FFF2-40B4-BE49-F238E27FC236}">
              <a16:creationId xmlns:a16="http://schemas.microsoft.com/office/drawing/2014/main" id="{2E9F422C-011A-97A2-AFE6-9938E815966B}"/>
            </a:ext>
          </a:extLst>
        </xdr:cNvPr>
        <xdr:cNvSpPr/>
      </xdr:nvSpPr>
      <xdr:spPr>
        <a:xfrm>
          <a:off x="80137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246</xdr:row>
      <xdr:rowOff>12700</xdr:rowOff>
    </xdr:from>
    <xdr:to>
      <xdr:col>7</xdr:col>
      <xdr:colOff>673100</xdr:colOff>
      <xdr:row>246</xdr:row>
      <xdr:rowOff>168275</xdr:rowOff>
    </xdr:to>
    <xdr:sp macro="[0]!SelectBarterOffer" textlink="">
      <xdr:nvSpPr>
        <xdr:cNvPr id="490" name="BarterBtn_5_247_1" descr="7|247|1">
          <a:extLst>
            <a:ext uri="{FF2B5EF4-FFF2-40B4-BE49-F238E27FC236}">
              <a16:creationId xmlns:a16="http://schemas.microsoft.com/office/drawing/2014/main" id="{EC446911-714D-9233-9BDD-E9B67B4D905E}"/>
            </a:ext>
          </a:extLst>
        </xdr:cNvPr>
        <xdr:cNvSpPr/>
      </xdr:nvSpPr>
      <xdr:spPr>
        <a:xfrm>
          <a:off x="59563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246</xdr:row>
      <xdr:rowOff>12700</xdr:rowOff>
    </xdr:from>
    <xdr:to>
      <xdr:col>10</xdr:col>
      <xdr:colOff>673100</xdr:colOff>
      <xdr:row>246</xdr:row>
      <xdr:rowOff>168275</xdr:rowOff>
    </xdr:to>
    <xdr:sp macro="[0]!SelectBarterOffer" textlink="">
      <xdr:nvSpPr>
        <xdr:cNvPr id="491" name="BarterBtn_5_247_2" descr="7|247|2">
          <a:extLst>
            <a:ext uri="{FF2B5EF4-FFF2-40B4-BE49-F238E27FC236}">
              <a16:creationId xmlns:a16="http://schemas.microsoft.com/office/drawing/2014/main" id="{4F68912E-EC4A-A811-AEDD-BFD892D5D638}"/>
            </a:ext>
          </a:extLst>
        </xdr:cNvPr>
        <xdr:cNvSpPr/>
      </xdr:nvSpPr>
      <xdr:spPr>
        <a:xfrm>
          <a:off x="80137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253</xdr:row>
      <xdr:rowOff>12700</xdr:rowOff>
    </xdr:from>
    <xdr:to>
      <xdr:col>7</xdr:col>
      <xdr:colOff>673100</xdr:colOff>
      <xdr:row>253</xdr:row>
      <xdr:rowOff>168275</xdr:rowOff>
    </xdr:to>
    <xdr:sp macro="[0]!SelectBarterOffer" textlink="">
      <xdr:nvSpPr>
        <xdr:cNvPr id="492" name="BarterBtn_5_254_1" descr="7|254|1">
          <a:extLst>
            <a:ext uri="{FF2B5EF4-FFF2-40B4-BE49-F238E27FC236}">
              <a16:creationId xmlns:a16="http://schemas.microsoft.com/office/drawing/2014/main" id="{364E81BD-DA1F-3F9F-CC8D-25552ACF2EDA}"/>
            </a:ext>
          </a:extLst>
        </xdr:cNvPr>
        <xdr:cNvSpPr/>
      </xdr:nvSpPr>
      <xdr:spPr>
        <a:xfrm>
          <a:off x="59563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260</xdr:row>
      <xdr:rowOff>12700</xdr:rowOff>
    </xdr:from>
    <xdr:to>
      <xdr:col>7</xdr:col>
      <xdr:colOff>673100</xdr:colOff>
      <xdr:row>260</xdr:row>
      <xdr:rowOff>168275</xdr:rowOff>
    </xdr:to>
    <xdr:sp macro="[0]!SelectBarterOffer" textlink="">
      <xdr:nvSpPr>
        <xdr:cNvPr id="493" name="BarterBtn_5_261_1" descr="7|261|1">
          <a:extLst>
            <a:ext uri="{FF2B5EF4-FFF2-40B4-BE49-F238E27FC236}">
              <a16:creationId xmlns:a16="http://schemas.microsoft.com/office/drawing/2014/main" id="{5BDEC452-6ED8-E2A9-6155-556E02378AB3}"/>
            </a:ext>
          </a:extLst>
        </xdr:cNvPr>
        <xdr:cNvSpPr/>
      </xdr:nvSpPr>
      <xdr:spPr>
        <a:xfrm>
          <a:off x="5956300" y="102215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267</xdr:row>
      <xdr:rowOff>12700</xdr:rowOff>
    </xdr:from>
    <xdr:to>
      <xdr:col>7</xdr:col>
      <xdr:colOff>673100</xdr:colOff>
      <xdr:row>267</xdr:row>
      <xdr:rowOff>168275</xdr:rowOff>
    </xdr:to>
    <xdr:sp macro="[0]!SelectBarterOffer" textlink="">
      <xdr:nvSpPr>
        <xdr:cNvPr id="494" name="BarterBtn_5_268_1" descr="7|268|1">
          <a:extLst>
            <a:ext uri="{FF2B5EF4-FFF2-40B4-BE49-F238E27FC236}">
              <a16:creationId xmlns:a16="http://schemas.microsoft.com/office/drawing/2014/main" id="{F3180DFB-B45B-3A0E-2D1A-414DA191759B}"/>
            </a:ext>
          </a:extLst>
        </xdr:cNvPr>
        <xdr:cNvSpPr/>
      </xdr:nvSpPr>
      <xdr:spPr>
        <a:xfrm>
          <a:off x="59563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0</xdr:col>
      <xdr:colOff>50800</xdr:colOff>
      <xdr:row>275</xdr:row>
      <xdr:rowOff>25400</xdr:rowOff>
    </xdr:from>
    <xdr:to>
      <xdr:col>16</xdr:col>
      <xdr:colOff>635000</xdr:colOff>
      <xdr:row>278</xdr:row>
      <xdr:rowOff>15875</xdr:rowOff>
    </xdr:to>
    <xdr:sp macro="" textlink="">
      <xdr:nvSpPr>
        <xdr:cNvPr id="315" name="HofrinWatermark_5" descr="Made by Hofrin">
          <a:extLst>
            <a:ext uri="{FF2B5EF4-FFF2-40B4-BE49-F238E27FC236}">
              <a16:creationId xmlns:a16="http://schemas.microsoft.com/office/drawing/2014/main" id="{1C061C4B-C34E-F8D2-6FEE-2058EF378F2D}"/>
            </a:ext>
          </a:extLst>
        </xdr:cNvPr>
        <xdr:cNvSpPr txBox="1"/>
      </xdr:nvSpPr>
      <xdr:spPr>
        <a:xfrm>
          <a:off x="50800" y="107924600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50800</xdr:colOff>
      <xdr:row>275</xdr:row>
      <xdr:rowOff>25400</xdr:rowOff>
    </xdr:from>
    <xdr:to>
      <xdr:col>16</xdr:col>
      <xdr:colOff>635000</xdr:colOff>
      <xdr:row>278</xdr:row>
      <xdr:rowOff>15875</xdr:rowOff>
    </xdr:to>
    <xdr:sp macro="" textlink="">
      <xdr:nvSpPr>
        <xdr:cNvPr id="316" name="HofrinWatermark_7" descr="Made by Hofrin">
          <a:extLst>
            <a:ext uri="{FF2B5EF4-FFF2-40B4-BE49-F238E27FC236}">
              <a16:creationId xmlns:a16="http://schemas.microsoft.com/office/drawing/2014/main" id="{BB09F458-3862-3AF7-B958-9D67679E822E}"/>
            </a:ext>
          </a:extLst>
        </xdr:cNvPr>
        <xdr:cNvSpPr txBox="1"/>
      </xdr:nvSpPr>
      <xdr:spPr>
        <a:xfrm>
          <a:off x="50800" y="107924600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1</xdr:row>
      <xdr:rowOff>428625</xdr:rowOff>
    </xdr:from>
    <xdr:ext cx="1438275" cy="1438275"/>
    <xdr:pic>
      <xdr:nvPicPr>
        <xdr:cNvPr id="2" name="/xl/media/image269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19050</xdr:rowOff>
    </xdr:from>
    <xdr:ext cx="647700" cy="647700"/>
    <xdr:pic>
      <xdr:nvPicPr>
        <xdr:cNvPr id="3" name="/xl/media/image27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</xdr:row>
      <xdr:rowOff>9525</xdr:rowOff>
    </xdr:from>
    <xdr:ext cx="571500" cy="571500"/>
    <xdr:pic>
      <xdr:nvPicPr>
        <xdr:cNvPr id="4" name="/xl/media/image271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</xdr:row>
      <xdr:rowOff>9525</xdr:rowOff>
    </xdr:from>
    <xdr:ext cx="571500" cy="571500"/>
    <xdr:pic>
      <xdr:nvPicPr>
        <xdr:cNvPr id="5" name="/xl/media/image272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</xdr:row>
      <xdr:rowOff>9525</xdr:rowOff>
    </xdr:from>
    <xdr:ext cx="571500" cy="571500"/>
    <xdr:pic>
      <xdr:nvPicPr>
        <xdr:cNvPr id="6" name="/xl/media/image27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</xdr:row>
      <xdr:rowOff>9525</xdr:rowOff>
    </xdr:from>
    <xdr:ext cx="571500" cy="571500"/>
    <xdr:pic>
      <xdr:nvPicPr>
        <xdr:cNvPr id="7" name="/xl/media/image274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</xdr:row>
      <xdr:rowOff>9525</xdr:rowOff>
    </xdr:from>
    <xdr:ext cx="571500" cy="571500"/>
    <xdr:pic>
      <xdr:nvPicPr>
        <xdr:cNvPr id="8" name="/xl/media/image275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</xdr:row>
      <xdr:rowOff>9525</xdr:rowOff>
    </xdr:from>
    <xdr:ext cx="571500" cy="571500"/>
    <xdr:pic>
      <xdr:nvPicPr>
        <xdr:cNvPr id="9" name="/xl/media/image276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428625</xdr:rowOff>
    </xdr:from>
    <xdr:ext cx="1438275" cy="1438275"/>
    <xdr:pic>
      <xdr:nvPicPr>
        <xdr:cNvPr id="10" name="/xl/media/image277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</xdr:row>
      <xdr:rowOff>19050</xdr:rowOff>
    </xdr:from>
    <xdr:ext cx="647700" cy="647700"/>
    <xdr:pic>
      <xdr:nvPicPr>
        <xdr:cNvPr id="11" name="/xl/media/image278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</xdr:row>
      <xdr:rowOff>9525</xdr:rowOff>
    </xdr:from>
    <xdr:ext cx="571500" cy="571500"/>
    <xdr:pic>
      <xdr:nvPicPr>
        <xdr:cNvPr id="12" name="/xl/media/image271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</xdr:row>
      <xdr:rowOff>9525</xdr:rowOff>
    </xdr:from>
    <xdr:ext cx="571500" cy="571500"/>
    <xdr:pic>
      <xdr:nvPicPr>
        <xdr:cNvPr id="13" name="/xl/media/image272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</xdr:row>
      <xdr:rowOff>9525</xdr:rowOff>
    </xdr:from>
    <xdr:ext cx="571500" cy="571500"/>
    <xdr:pic>
      <xdr:nvPicPr>
        <xdr:cNvPr id="14" name="/xl/media/image27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</xdr:row>
      <xdr:rowOff>9525</xdr:rowOff>
    </xdr:from>
    <xdr:ext cx="571500" cy="571500"/>
    <xdr:pic>
      <xdr:nvPicPr>
        <xdr:cNvPr id="15" name="/xl/media/image274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</xdr:row>
      <xdr:rowOff>9525</xdr:rowOff>
    </xdr:from>
    <xdr:ext cx="571500" cy="571500"/>
    <xdr:pic>
      <xdr:nvPicPr>
        <xdr:cNvPr id="16" name="/xl/media/image275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</xdr:row>
      <xdr:rowOff>9525</xdr:rowOff>
    </xdr:from>
    <xdr:ext cx="571500" cy="571500"/>
    <xdr:pic>
      <xdr:nvPicPr>
        <xdr:cNvPr id="17" name="/xl/media/image276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</xdr:row>
      <xdr:rowOff>428625</xdr:rowOff>
    </xdr:from>
    <xdr:ext cx="1438275" cy="1438275"/>
    <xdr:pic>
      <xdr:nvPicPr>
        <xdr:cNvPr id="18" name="/xl/media/image279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</xdr:row>
      <xdr:rowOff>9525</xdr:rowOff>
    </xdr:from>
    <xdr:ext cx="571500" cy="571500"/>
    <xdr:pic>
      <xdr:nvPicPr>
        <xdr:cNvPr id="19" name="/xl/media/image27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</xdr:row>
      <xdr:rowOff>9525</xdr:rowOff>
    </xdr:from>
    <xdr:ext cx="571500" cy="571500"/>
    <xdr:pic>
      <xdr:nvPicPr>
        <xdr:cNvPr id="20" name="/xl/media/image275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</xdr:row>
      <xdr:rowOff>9525</xdr:rowOff>
    </xdr:from>
    <xdr:ext cx="571500" cy="571500"/>
    <xdr:pic>
      <xdr:nvPicPr>
        <xdr:cNvPr id="21" name="/xl/media/image272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</xdr:row>
      <xdr:rowOff>9525</xdr:rowOff>
    </xdr:from>
    <xdr:ext cx="571500" cy="571500"/>
    <xdr:pic>
      <xdr:nvPicPr>
        <xdr:cNvPr id="22" name="/xl/media/image274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</xdr:row>
      <xdr:rowOff>9525</xdr:rowOff>
    </xdr:from>
    <xdr:ext cx="571500" cy="571500"/>
    <xdr:pic>
      <xdr:nvPicPr>
        <xdr:cNvPr id="23" name="/xl/media/image271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</xdr:row>
      <xdr:rowOff>9525</xdr:rowOff>
    </xdr:from>
    <xdr:ext cx="571500" cy="571500"/>
    <xdr:pic>
      <xdr:nvPicPr>
        <xdr:cNvPr id="24" name="/xl/media/image276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</xdr:row>
      <xdr:rowOff>428625</xdr:rowOff>
    </xdr:from>
    <xdr:ext cx="1438275" cy="1438275"/>
    <xdr:pic>
      <xdr:nvPicPr>
        <xdr:cNvPr id="25" name="/xl/media/image280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</xdr:row>
      <xdr:rowOff>19050</xdr:rowOff>
    </xdr:from>
    <xdr:ext cx="647700" cy="647700"/>
    <xdr:pic>
      <xdr:nvPicPr>
        <xdr:cNvPr id="26" name="/xl/media/image281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</xdr:row>
      <xdr:rowOff>9525</xdr:rowOff>
    </xdr:from>
    <xdr:ext cx="571500" cy="571500"/>
    <xdr:pic>
      <xdr:nvPicPr>
        <xdr:cNvPr id="27" name="/xl/media/image27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</xdr:row>
      <xdr:rowOff>9525</xdr:rowOff>
    </xdr:from>
    <xdr:ext cx="571500" cy="571500"/>
    <xdr:pic>
      <xdr:nvPicPr>
        <xdr:cNvPr id="28" name="/xl/media/image275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</xdr:row>
      <xdr:rowOff>9525</xdr:rowOff>
    </xdr:from>
    <xdr:ext cx="571500" cy="571500"/>
    <xdr:pic>
      <xdr:nvPicPr>
        <xdr:cNvPr id="29" name="/xl/media/image272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</xdr:row>
      <xdr:rowOff>9525</xdr:rowOff>
    </xdr:from>
    <xdr:ext cx="571500" cy="571500"/>
    <xdr:pic>
      <xdr:nvPicPr>
        <xdr:cNvPr id="30" name="/xl/media/image274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</xdr:row>
      <xdr:rowOff>9525</xdr:rowOff>
    </xdr:from>
    <xdr:ext cx="571500" cy="571500"/>
    <xdr:pic>
      <xdr:nvPicPr>
        <xdr:cNvPr id="31" name="/xl/media/image271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</xdr:row>
      <xdr:rowOff>9525</xdr:rowOff>
    </xdr:from>
    <xdr:ext cx="571500" cy="571500"/>
    <xdr:pic>
      <xdr:nvPicPr>
        <xdr:cNvPr id="32" name="/xl/media/image276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</xdr:row>
      <xdr:rowOff>428625</xdr:rowOff>
    </xdr:from>
    <xdr:ext cx="1438275" cy="1438275"/>
    <xdr:pic>
      <xdr:nvPicPr>
        <xdr:cNvPr id="33" name="/xl/media/image282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</xdr:row>
      <xdr:rowOff>19050</xdr:rowOff>
    </xdr:from>
    <xdr:ext cx="647700" cy="647700"/>
    <xdr:pic>
      <xdr:nvPicPr>
        <xdr:cNvPr id="34" name="/xl/media/image28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</xdr:row>
      <xdr:rowOff>9525</xdr:rowOff>
    </xdr:from>
    <xdr:ext cx="571500" cy="571500"/>
    <xdr:pic>
      <xdr:nvPicPr>
        <xdr:cNvPr id="35" name="/xl/media/image27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</xdr:row>
      <xdr:rowOff>9525</xdr:rowOff>
    </xdr:from>
    <xdr:ext cx="571500" cy="571500"/>
    <xdr:pic>
      <xdr:nvPicPr>
        <xdr:cNvPr id="36" name="/xl/media/image275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</xdr:row>
      <xdr:rowOff>9525</xdr:rowOff>
    </xdr:from>
    <xdr:ext cx="571500" cy="571500"/>
    <xdr:pic>
      <xdr:nvPicPr>
        <xdr:cNvPr id="37" name="/xl/media/image272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</xdr:row>
      <xdr:rowOff>9525</xdr:rowOff>
    </xdr:from>
    <xdr:ext cx="571500" cy="571500"/>
    <xdr:pic>
      <xdr:nvPicPr>
        <xdr:cNvPr id="38" name="/xl/media/image274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</xdr:row>
      <xdr:rowOff>9525</xdr:rowOff>
    </xdr:from>
    <xdr:ext cx="571500" cy="571500"/>
    <xdr:pic>
      <xdr:nvPicPr>
        <xdr:cNvPr id="39" name="/xl/media/image271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</xdr:row>
      <xdr:rowOff>9525</xdr:rowOff>
    </xdr:from>
    <xdr:ext cx="571500" cy="571500"/>
    <xdr:pic>
      <xdr:nvPicPr>
        <xdr:cNvPr id="40" name="/xl/media/image276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</xdr:row>
      <xdr:rowOff>428625</xdr:rowOff>
    </xdr:from>
    <xdr:ext cx="1438275" cy="1438275"/>
    <xdr:pic>
      <xdr:nvPicPr>
        <xdr:cNvPr id="41" name="/xl/media/image284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</xdr:row>
      <xdr:rowOff>19050</xdr:rowOff>
    </xdr:from>
    <xdr:ext cx="647700" cy="647700"/>
    <xdr:pic>
      <xdr:nvPicPr>
        <xdr:cNvPr id="42" name="/xl/media/image285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</xdr:row>
      <xdr:rowOff>9525</xdr:rowOff>
    </xdr:from>
    <xdr:ext cx="571500" cy="571500"/>
    <xdr:pic>
      <xdr:nvPicPr>
        <xdr:cNvPr id="43" name="/xl/media/image27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</xdr:row>
      <xdr:rowOff>9525</xdr:rowOff>
    </xdr:from>
    <xdr:ext cx="571500" cy="571500"/>
    <xdr:pic>
      <xdr:nvPicPr>
        <xdr:cNvPr id="44" name="/xl/media/image275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</xdr:row>
      <xdr:rowOff>9525</xdr:rowOff>
    </xdr:from>
    <xdr:ext cx="571500" cy="571500"/>
    <xdr:pic>
      <xdr:nvPicPr>
        <xdr:cNvPr id="45" name="/xl/media/image272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</xdr:row>
      <xdr:rowOff>9525</xdr:rowOff>
    </xdr:from>
    <xdr:ext cx="571500" cy="571500"/>
    <xdr:pic>
      <xdr:nvPicPr>
        <xdr:cNvPr id="46" name="/xl/media/image274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</xdr:row>
      <xdr:rowOff>9525</xdr:rowOff>
    </xdr:from>
    <xdr:ext cx="571500" cy="571500"/>
    <xdr:pic>
      <xdr:nvPicPr>
        <xdr:cNvPr id="47" name="/xl/media/image271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</xdr:row>
      <xdr:rowOff>9525</xdr:rowOff>
    </xdr:from>
    <xdr:ext cx="571500" cy="571500"/>
    <xdr:pic>
      <xdr:nvPicPr>
        <xdr:cNvPr id="48" name="/xl/media/image276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</xdr:row>
      <xdr:rowOff>428625</xdr:rowOff>
    </xdr:from>
    <xdr:ext cx="1438275" cy="1438275"/>
    <xdr:pic>
      <xdr:nvPicPr>
        <xdr:cNvPr id="49" name="/xl/media/image286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44</xdr:row>
      <xdr:rowOff>19050</xdr:rowOff>
    </xdr:from>
    <xdr:ext cx="647700" cy="647700"/>
    <xdr:pic>
      <xdr:nvPicPr>
        <xdr:cNvPr id="50" name="/xl/media/image287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</xdr:row>
      <xdr:rowOff>9525</xdr:rowOff>
    </xdr:from>
    <xdr:ext cx="571500" cy="571500"/>
    <xdr:pic>
      <xdr:nvPicPr>
        <xdr:cNvPr id="51" name="/xl/media/image27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</xdr:row>
      <xdr:rowOff>9525</xdr:rowOff>
    </xdr:from>
    <xdr:ext cx="571500" cy="571500"/>
    <xdr:pic>
      <xdr:nvPicPr>
        <xdr:cNvPr id="52" name="/xl/media/image275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</xdr:row>
      <xdr:rowOff>9525</xdr:rowOff>
    </xdr:from>
    <xdr:ext cx="571500" cy="571500"/>
    <xdr:pic>
      <xdr:nvPicPr>
        <xdr:cNvPr id="53" name="/xl/media/image272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</xdr:row>
      <xdr:rowOff>9525</xdr:rowOff>
    </xdr:from>
    <xdr:ext cx="571500" cy="571500"/>
    <xdr:pic>
      <xdr:nvPicPr>
        <xdr:cNvPr id="54" name="/xl/media/image274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</xdr:row>
      <xdr:rowOff>9525</xdr:rowOff>
    </xdr:from>
    <xdr:ext cx="571500" cy="571500"/>
    <xdr:pic>
      <xdr:nvPicPr>
        <xdr:cNvPr id="55" name="/xl/media/image271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</xdr:row>
      <xdr:rowOff>9525</xdr:rowOff>
    </xdr:from>
    <xdr:ext cx="571500" cy="571500"/>
    <xdr:pic>
      <xdr:nvPicPr>
        <xdr:cNvPr id="56" name="/xl/media/image276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</xdr:row>
      <xdr:rowOff>428625</xdr:rowOff>
    </xdr:from>
    <xdr:ext cx="1438275" cy="1438275"/>
    <xdr:pic>
      <xdr:nvPicPr>
        <xdr:cNvPr id="57" name="/xl/media/image288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51</xdr:row>
      <xdr:rowOff>19050</xdr:rowOff>
    </xdr:from>
    <xdr:ext cx="647700" cy="647700"/>
    <xdr:pic>
      <xdr:nvPicPr>
        <xdr:cNvPr id="58" name="/xl/media/image289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</xdr:row>
      <xdr:rowOff>9525</xdr:rowOff>
    </xdr:from>
    <xdr:ext cx="571500" cy="571500"/>
    <xdr:pic>
      <xdr:nvPicPr>
        <xdr:cNvPr id="59" name="/xl/media/image27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</xdr:row>
      <xdr:rowOff>9525</xdr:rowOff>
    </xdr:from>
    <xdr:ext cx="571500" cy="571500"/>
    <xdr:pic>
      <xdr:nvPicPr>
        <xdr:cNvPr id="60" name="/xl/media/image275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</xdr:row>
      <xdr:rowOff>9525</xdr:rowOff>
    </xdr:from>
    <xdr:ext cx="571500" cy="571500"/>
    <xdr:pic>
      <xdr:nvPicPr>
        <xdr:cNvPr id="61" name="/xl/media/image272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</xdr:row>
      <xdr:rowOff>9525</xdr:rowOff>
    </xdr:from>
    <xdr:ext cx="571500" cy="571500"/>
    <xdr:pic>
      <xdr:nvPicPr>
        <xdr:cNvPr id="62" name="/xl/media/image274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</xdr:row>
      <xdr:rowOff>9525</xdr:rowOff>
    </xdr:from>
    <xdr:ext cx="571500" cy="571500"/>
    <xdr:pic>
      <xdr:nvPicPr>
        <xdr:cNvPr id="63" name="/xl/media/image271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</xdr:row>
      <xdr:rowOff>9525</xdr:rowOff>
    </xdr:from>
    <xdr:ext cx="571500" cy="571500"/>
    <xdr:pic>
      <xdr:nvPicPr>
        <xdr:cNvPr id="64" name="/xl/media/image276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</xdr:row>
      <xdr:rowOff>428625</xdr:rowOff>
    </xdr:from>
    <xdr:ext cx="1438275" cy="1438275"/>
    <xdr:pic>
      <xdr:nvPicPr>
        <xdr:cNvPr id="65" name="/xl/media/image281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</xdr:row>
      <xdr:rowOff>9525</xdr:rowOff>
    </xdr:from>
    <xdr:ext cx="571500" cy="571500"/>
    <xdr:pic>
      <xdr:nvPicPr>
        <xdr:cNvPr id="66" name="/xl/media/image272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</xdr:row>
      <xdr:rowOff>9525</xdr:rowOff>
    </xdr:from>
    <xdr:ext cx="571500" cy="571500"/>
    <xdr:pic>
      <xdr:nvPicPr>
        <xdr:cNvPr id="67" name="/xl/media/image27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</xdr:row>
      <xdr:rowOff>9525</xdr:rowOff>
    </xdr:from>
    <xdr:ext cx="571500" cy="571500"/>
    <xdr:pic>
      <xdr:nvPicPr>
        <xdr:cNvPr id="68" name="/xl/media/image274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</xdr:row>
      <xdr:rowOff>9525</xdr:rowOff>
    </xdr:from>
    <xdr:ext cx="571500" cy="571500"/>
    <xdr:pic>
      <xdr:nvPicPr>
        <xdr:cNvPr id="69" name="/xl/media/image275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59</xdr:row>
      <xdr:rowOff>9525</xdr:rowOff>
    </xdr:from>
    <xdr:ext cx="571500" cy="571500"/>
    <xdr:pic>
      <xdr:nvPicPr>
        <xdr:cNvPr id="70" name="/xl/media/image290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59</xdr:row>
      <xdr:rowOff>9525</xdr:rowOff>
    </xdr:from>
    <xdr:ext cx="571500" cy="571500"/>
    <xdr:pic>
      <xdr:nvPicPr>
        <xdr:cNvPr id="71" name="/xl/media/image291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59</xdr:row>
      <xdr:rowOff>9525</xdr:rowOff>
    </xdr:from>
    <xdr:ext cx="571500" cy="571500"/>
    <xdr:pic>
      <xdr:nvPicPr>
        <xdr:cNvPr id="72" name="/xl/media/image292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61</xdr:row>
      <xdr:rowOff>9525</xdr:rowOff>
    </xdr:from>
    <xdr:ext cx="571500" cy="571500"/>
    <xdr:pic>
      <xdr:nvPicPr>
        <xdr:cNvPr id="73" name="/xl/media/image29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</xdr:row>
      <xdr:rowOff>428625</xdr:rowOff>
    </xdr:from>
    <xdr:ext cx="1438275" cy="1438275"/>
    <xdr:pic>
      <xdr:nvPicPr>
        <xdr:cNvPr id="74" name="/xl/media/image270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65</xdr:row>
      <xdr:rowOff>19050</xdr:rowOff>
    </xdr:from>
    <xdr:ext cx="647700" cy="647700"/>
    <xdr:pic>
      <xdr:nvPicPr>
        <xdr:cNvPr id="75" name="/xl/media/image294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</xdr:row>
      <xdr:rowOff>9525</xdr:rowOff>
    </xdr:from>
    <xdr:ext cx="571500" cy="571500"/>
    <xdr:pic>
      <xdr:nvPicPr>
        <xdr:cNvPr id="76" name="/xl/media/image272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</xdr:row>
      <xdr:rowOff>9525</xdr:rowOff>
    </xdr:from>
    <xdr:ext cx="571500" cy="571500"/>
    <xdr:pic>
      <xdr:nvPicPr>
        <xdr:cNvPr id="77" name="/xl/media/image27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</xdr:row>
      <xdr:rowOff>9525</xdr:rowOff>
    </xdr:from>
    <xdr:ext cx="571500" cy="571500"/>
    <xdr:pic>
      <xdr:nvPicPr>
        <xdr:cNvPr id="78" name="/xl/media/image274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</xdr:row>
      <xdr:rowOff>9525</xdr:rowOff>
    </xdr:from>
    <xdr:ext cx="571500" cy="571500"/>
    <xdr:pic>
      <xdr:nvPicPr>
        <xdr:cNvPr id="79" name="/xl/media/image275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65</xdr:row>
      <xdr:rowOff>19050</xdr:rowOff>
    </xdr:from>
    <xdr:ext cx="647700" cy="647700"/>
    <xdr:pic>
      <xdr:nvPicPr>
        <xdr:cNvPr id="80" name="/xl/media/image294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66</xdr:row>
      <xdr:rowOff>9525</xdr:rowOff>
    </xdr:from>
    <xdr:ext cx="571500" cy="571500"/>
    <xdr:pic>
      <xdr:nvPicPr>
        <xdr:cNvPr id="81" name="/xl/media/image29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66</xdr:row>
      <xdr:rowOff>9525</xdr:rowOff>
    </xdr:from>
    <xdr:ext cx="571500" cy="571500"/>
    <xdr:pic>
      <xdr:nvPicPr>
        <xdr:cNvPr id="82" name="/xl/media/image291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66</xdr:row>
      <xdr:rowOff>9525</xdr:rowOff>
    </xdr:from>
    <xdr:ext cx="571500" cy="571500"/>
    <xdr:pic>
      <xdr:nvPicPr>
        <xdr:cNvPr id="83" name="/xl/media/image292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</xdr:row>
      <xdr:rowOff>9525</xdr:rowOff>
    </xdr:from>
    <xdr:ext cx="571500" cy="571500"/>
    <xdr:pic>
      <xdr:nvPicPr>
        <xdr:cNvPr id="84" name="/xl/media/image29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</xdr:row>
      <xdr:rowOff>428625</xdr:rowOff>
    </xdr:from>
    <xdr:ext cx="1438275" cy="1438275"/>
    <xdr:pic>
      <xdr:nvPicPr>
        <xdr:cNvPr id="85" name="/xl/media/image295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</xdr:row>
      <xdr:rowOff>9525</xdr:rowOff>
    </xdr:from>
    <xdr:ext cx="571500" cy="571500"/>
    <xdr:pic>
      <xdr:nvPicPr>
        <xdr:cNvPr id="86" name="/xl/media/image27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</xdr:row>
      <xdr:rowOff>9525</xdr:rowOff>
    </xdr:from>
    <xdr:ext cx="571500" cy="571500"/>
    <xdr:pic>
      <xdr:nvPicPr>
        <xdr:cNvPr id="87" name="/xl/media/image275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</xdr:row>
      <xdr:rowOff>9525</xdr:rowOff>
    </xdr:from>
    <xdr:ext cx="571500" cy="571500"/>
    <xdr:pic>
      <xdr:nvPicPr>
        <xdr:cNvPr id="88" name="/xl/media/image272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</xdr:row>
      <xdr:rowOff>9525</xdr:rowOff>
    </xdr:from>
    <xdr:ext cx="571500" cy="571500"/>
    <xdr:pic>
      <xdr:nvPicPr>
        <xdr:cNvPr id="89" name="/xl/media/image274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</xdr:row>
      <xdr:rowOff>9525</xdr:rowOff>
    </xdr:from>
    <xdr:ext cx="571500" cy="571500"/>
    <xdr:pic>
      <xdr:nvPicPr>
        <xdr:cNvPr id="90" name="/xl/media/image291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</xdr:row>
      <xdr:rowOff>9525</xdr:rowOff>
    </xdr:from>
    <xdr:ext cx="571500" cy="571500"/>
    <xdr:pic>
      <xdr:nvPicPr>
        <xdr:cNvPr id="91" name="/xl/media/image29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73</xdr:row>
      <xdr:rowOff>9525</xdr:rowOff>
    </xdr:from>
    <xdr:ext cx="571500" cy="571500"/>
    <xdr:pic>
      <xdr:nvPicPr>
        <xdr:cNvPr id="92" name="/xl/media/image292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75</xdr:row>
      <xdr:rowOff>9525</xdr:rowOff>
    </xdr:from>
    <xdr:ext cx="571500" cy="571500"/>
    <xdr:pic>
      <xdr:nvPicPr>
        <xdr:cNvPr id="93" name="/xl/media/image290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</xdr:row>
      <xdr:rowOff>428625</xdr:rowOff>
    </xdr:from>
    <xdr:ext cx="1438275" cy="1438275"/>
    <xdr:pic>
      <xdr:nvPicPr>
        <xdr:cNvPr id="94" name="/xl/media/image296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</xdr:row>
      <xdr:rowOff>9525</xdr:rowOff>
    </xdr:from>
    <xdr:ext cx="571500" cy="571500"/>
    <xdr:pic>
      <xdr:nvPicPr>
        <xdr:cNvPr id="95" name="/xl/media/image27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</xdr:row>
      <xdr:rowOff>9525</xdr:rowOff>
    </xdr:from>
    <xdr:ext cx="571500" cy="571500"/>
    <xdr:pic>
      <xdr:nvPicPr>
        <xdr:cNvPr id="96" name="/xl/media/image275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</xdr:row>
      <xdr:rowOff>9525</xdr:rowOff>
    </xdr:from>
    <xdr:ext cx="571500" cy="571500"/>
    <xdr:pic>
      <xdr:nvPicPr>
        <xdr:cNvPr id="97" name="/xl/media/image272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</xdr:row>
      <xdr:rowOff>9525</xdr:rowOff>
    </xdr:from>
    <xdr:ext cx="571500" cy="571500"/>
    <xdr:pic>
      <xdr:nvPicPr>
        <xdr:cNvPr id="98" name="/xl/media/image274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80</xdr:row>
      <xdr:rowOff>9525</xdr:rowOff>
    </xdr:from>
    <xdr:ext cx="571500" cy="571500"/>
    <xdr:pic>
      <xdr:nvPicPr>
        <xdr:cNvPr id="99" name="/xl/media/image291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80</xdr:row>
      <xdr:rowOff>9525</xdr:rowOff>
    </xdr:from>
    <xdr:ext cx="571500" cy="571500"/>
    <xdr:pic>
      <xdr:nvPicPr>
        <xdr:cNvPr id="100" name="/xl/media/image29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80</xdr:row>
      <xdr:rowOff>9525</xdr:rowOff>
    </xdr:from>
    <xdr:ext cx="571500" cy="571500"/>
    <xdr:pic>
      <xdr:nvPicPr>
        <xdr:cNvPr id="101" name="/xl/media/image292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82</xdr:row>
      <xdr:rowOff>9525</xdr:rowOff>
    </xdr:from>
    <xdr:ext cx="571500" cy="571500"/>
    <xdr:pic>
      <xdr:nvPicPr>
        <xdr:cNvPr id="102" name="/xl/media/image290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</xdr:row>
      <xdr:rowOff>428625</xdr:rowOff>
    </xdr:from>
    <xdr:ext cx="1438275" cy="1438275"/>
    <xdr:pic>
      <xdr:nvPicPr>
        <xdr:cNvPr id="103" name="/xl/media/image297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</xdr:row>
      <xdr:rowOff>9525</xdr:rowOff>
    </xdr:from>
    <xdr:ext cx="571500" cy="571500"/>
    <xdr:pic>
      <xdr:nvPicPr>
        <xdr:cNvPr id="104" name="/xl/media/image27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</xdr:row>
      <xdr:rowOff>9525</xdr:rowOff>
    </xdr:from>
    <xdr:ext cx="571500" cy="571500"/>
    <xdr:pic>
      <xdr:nvPicPr>
        <xdr:cNvPr id="105" name="/xl/media/image275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</xdr:row>
      <xdr:rowOff>9525</xdr:rowOff>
    </xdr:from>
    <xdr:ext cx="571500" cy="571500"/>
    <xdr:pic>
      <xdr:nvPicPr>
        <xdr:cNvPr id="106" name="/xl/media/image272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</xdr:row>
      <xdr:rowOff>9525</xdr:rowOff>
    </xdr:from>
    <xdr:ext cx="571500" cy="571500"/>
    <xdr:pic>
      <xdr:nvPicPr>
        <xdr:cNvPr id="107" name="/xl/media/image274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87</xdr:row>
      <xdr:rowOff>9525</xdr:rowOff>
    </xdr:from>
    <xdr:ext cx="571500" cy="571500"/>
    <xdr:pic>
      <xdr:nvPicPr>
        <xdr:cNvPr id="108" name="/xl/media/image291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87</xdr:row>
      <xdr:rowOff>9525</xdr:rowOff>
    </xdr:from>
    <xdr:ext cx="571500" cy="571500"/>
    <xdr:pic>
      <xdr:nvPicPr>
        <xdr:cNvPr id="109" name="/xl/media/image29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87</xdr:row>
      <xdr:rowOff>9525</xdr:rowOff>
    </xdr:from>
    <xdr:ext cx="571500" cy="571500"/>
    <xdr:pic>
      <xdr:nvPicPr>
        <xdr:cNvPr id="110" name="/xl/media/image292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89</xdr:row>
      <xdr:rowOff>9525</xdr:rowOff>
    </xdr:from>
    <xdr:ext cx="571500" cy="571500"/>
    <xdr:pic>
      <xdr:nvPicPr>
        <xdr:cNvPr id="111" name="/xl/media/image290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92</xdr:row>
      <xdr:rowOff>428625</xdr:rowOff>
    </xdr:from>
    <xdr:ext cx="1438275" cy="1438275"/>
    <xdr:pic>
      <xdr:nvPicPr>
        <xdr:cNvPr id="112" name="/xl/media/image298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93</xdr:row>
      <xdr:rowOff>19050</xdr:rowOff>
    </xdr:from>
    <xdr:ext cx="647700" cy="647700"/>
    <xdr:pic>
      <xdr:nvPicPr>
        <xdr:cNvPr id="113" name="/xl/media/image299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</xdr:row>
      <xdr:rowOff>9525</xdr:rowOff>
    </xdr:from>
    <xdr:ext cx="571500" cy="571500"/>
    <xdr:pic>
      <xdr:nvPicPr>
        <xdr:cNvPr id="114" name="/xl/media/image27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</xdr:row>
      <xdr:rowOff>9525</xdr:rowOff>
    </xdr:from>
    <xdr:ext cx="571500" cy="571500"/>
    <xdr:pic>
      <xdr:nvPicPr>
        <xdr:cNvPr id="115" name="/xl/media/image275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94</xdr:row>
      <xdr:rowOff>9525</xdr:rowOff>
    </xdr:from>
    <xdr:ext cx="571500" cy="571500"/>
    <xdr:pic>
      <xdr:nvPicPr>
        <xdr:cNvPr id="116" name="/xl/media/image272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96</xdr:row>
      <xdr:rowOff>9525</xdr:rowOff>
    </xdr:from>
    <xdr:ext cx="571500" cy="571500"/>
    <xdr:pic>
      <xdr:nvPicPr>
        <xdr:cNvPr id="117" name="/xl/media/image274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93</xdr:row>
      <xdr:rowOff>19050</xdr:rowOff>
    </xdr:from>
    <xdr:ext cx="647700" cy="647700"/>
    <xdr:pic>
      <xdr:nvPicPr>
        <xdr:cNvPr id="118" name="/xl/media/image299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94</xdr:row>
      <xdr:rowOff>9525</xdr:rowOff>
    </xdr:from>
    <xdr:ext cx="571500" cy="571500"/>
    <xdr:pic>
      <xdr:nvPicPr>
        <xdr:cNvPr id="119" name="/xl/media/image291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94</xdr:row>
      <xdr:rowOff>9525</xdr:rowOff>
    </xdr:from>
    <xdr:ext cx="571500" cy="571500"/>
    <xdr:pic>
      <xdr:nvPicPr>
        <xdr:cNvPr id="120" name="/xl/media/image29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94</xdr:row>
      <xdr:rowOff>9525</xdr:rowOff>
    </xdr:from>
    <xdr:ext cx="571500" cy="571500"/>
    <xdr:pic>
      <xdr:nvPicPr>
        <xdr:cNvPr id="121" name="/xl/media/image292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96</xdr:row>
      <xdr:rowOff>9525</xdr:rowOff>
    </xdr:from>
    <xdr:ext cx="571500" cy="571500"/>
    <xdr:pic>
      <xdr:nvPicPr>
        <xdr:cNvPr id="122" name="/xl/media/image290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99</xdr:row>
      <xdr:rowOff>428625</xdr:rowOff>
    </xdr:from>
    <xdr:ext cx="1438275" cy="1438275"/>
    <xdr:pic>
      <xdr:nvPicPr>
        <xdr:cNvPr id="123" name="/xl/media/image300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100</xdr:row>
      <xdr:rowOff>19050</xdr:rowOff>
    </xdr:from>
    <xdr:ext cx="647700" cy="647700"/>
    <xdr:pic>
      <xdr:nvPicPr>
        <xdr:cNvPr id="124" name="/xl/media/image301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101</xdr:row>
      <xdr:rowOff>9525</xdr:rowOff>
    </xdr:from>
    <xdr:ext cx="571500" cy="571500"/>
    <xdr:pic>
      <xdr:nvPicPr>
        <xdr:cNvPr id="125" name="/xl/media/image27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101</xdr:row>
      <xdr:rowOff>9525</xdr:rowOff>
    </xdr:from>
    <xdr:ext cx="571500" cy="571500"/>
    <xdr:pic>
      <xdr:nvPicPr>
        <xdr:cNvPr id="126" name="/xl/media/image275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101</xdr:row>
      <xdr:rowOff>9525</xdr:rowOff>
    </xdr:from>
    <xdr:ext cx="571500" cy="571500"/>
    <xdr:pic>
      <xdr:nvPicPr>
        <xdr:cNvPr id="127" name="/xl/media/image272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103</xdr:row>
      <xdr:rowOff>9525</xdr:rowOff>
    </xdr:from>
    <xdr:ext cx="571500" cy="571500"/>
    <xdr:pic>
      <xdr:nvPicPr>
        <xdr:cNvPr id="128" name="/xl/media/image274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100</xdr:row>
      <xdr:rowOff>19050</xdr:rowOff>
    </xdr:from>
    <xdr:ext cx="647700" cy="647700"/>
    <xdr:pic>
      <xdr:nvPicPr>
        <xdr:cNvPr id="129" name="/xl/media/image302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101</xdr:row>
      <xdr:rowOff>9525</xdr:rowOff>
    </xdr:from>
    <xdr:ext cx="571500" cy="571500"/>
    <xdr:pic>
      <xdr:nvPicPr>
        <xdr:cNvPr id="130" name="/xl/media/image27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101</xdr:row>
      <xdr:rowOff>9525</xdr:rowOff>
    </xdr:from>
    <xdr:ext cx="571500" cy="571500"/>
    <xdr:pic>
      <xdr:nvPicPr>
        <xdr:cNvPr id="131" name="/xl/media/image275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101</xdr:row>
      <xdr:rowOff>9525</xdr:rowOff>
    </xdr:from>
    <xdr:ext cx="571500" cy="571500"/>
    <xdr:pic>
      <xdr:nvPicPr>
        <xdr:cNvPr id="132" name="/xl/media/image272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103</xdr:row>
      <xdr:rowOff>9525</xdr:rowOff>
    </xdr:from>
    <xdr:ext cx="571500" cy="571500"/>
    <xdr:pic>
      <xdr:nvPicPr>
        <xdr:cNvPr id="133" name="/xl/media/image274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0</xdr:colOff>
      <xdr:row>100</xdr:row>
      <xdr:rowOff>19050</xdr:rowOff>
    </xdr:from>
    <xdr:ext cx="647700" cy="647700"/>
    <xdr:pic>
      <xdr:nvPicPr>
        <xdr:cNvPr id="134" name="/xl/media/image301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101</xdr:row>
      <xdr:rowOff>9525</xdr:rowOff>
    </xdr:from>
    <xdr:ext cx="571500" cy="571500"/>
    <xdr:pic>
      <xdr:nvPicPr>
        <xdr:cNvPr id="135" name="/xl/media/image291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101</xdr:row>
      <xdr:rowOff>9525</xdr:rowOff>
    </xdr:from>
    <xdr:ext cx="571500" cy="571500"/>
    <xdr:pic>
      <xdr:nvPicPr>
        <xdr:cNvPr id="136" name="/xl/media/image29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101</xdr:row>
      <xdr:rowOff>9525</xdr:rowOff>
    </xdr:from>
    <xdr:ext cx="571500" cy="571500"/>
    <xdr:pic>
      <xdr:nvPicPr>
        <xdr:cNvPr id="137" name="/xl/media/image292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103</xdr:row>
      <xdr:rowOff>9525</xdr:rowOff>
    </xdr:from>
    <xdr:ext cx="571500" cy="571500"/>
    <xdr:pic>
      <xdr:nvPicPr>
        <xdr:cNvPr id="138" name="/xl/media/image290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0</xdr:colOff>
      <xdr:row>100</xdr:row>
      <xdr:rowOff>19050</xdr:rowOff>
    </xdr:from>
    <xdr:ext cx="647700" cy="647700"/>
    <xdr:pic>
      <xdr:nvPicPr>
        <xdr:cNvPr id="139" name="/xl/media/image302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101</xdr:row>
      <xdr:rowOff>9525</xdr:rowOff>
    </xdr:from>
    <xdr:ext cx="571500" cy="571500"/>
    <xdr:pic>
      <xdr:nvPicPr>
        <xdr:cNvPr id="140" name="/xl/media/image291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15</xdr:col>
      <xdr:colOff>19050</xdr:colOff>
      <xdr:row>101</xdr:row>
      <xdr:rowOff>9525</xdr:rowOff>
    </xdr:from>
    <xdr:ext cx="571500" cy="571500"/>
    <xdr:pic>
      <xdr:nvPicPr>
        <xdr:cNvPr id="141" name="/xl/media/image29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19050</xdr:colOff>
      <xdr:row>101</xdr:row>
      <xdr:rowOff>9525</xdr:rowOff>
    </xdr:from>
    <xdr:ext cx="571500" cy="571500"/>
    <xdr:pic>
      <xdr:nvPicPr>
        <xdr:cNvPr id="142" name="/xl/media/image292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19050</xdr:colOff>
      <xdr:row>103</xdr:row>
      <xdr:rowOff>9525</xdr:rowOff>
    </xdr:from>
    <xdr:ext cx="571500" cy="571500"/>
    <xdr:pic>
      <xdr:nvPicPr>
        <xdr:cNvPr id="143" name="/xl/media/image290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106</xdr:row>
      <xdr:rowOff>428625</xdr:rowOff>
    </xdr:from>
    <xdr:ext cx="1438275" cy="1438275"/>
    <xdr:pic>
      <xdr:nvPicPr>
        <xdr:cNvPr id="144" name="/xl/media/image289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107</xdr:row>
      <xdr:rowOff>19050</xdr:rowOff>
    </xdr:from>
    <xdr:ext cx="647700" cy="647700"/>
    <xdr:pic>
      <xdr:nvPicPr>
        <xdr:cNvPr id="145" name="/xl/media/image28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108</xdr:row>
      <xdr:rowOff>9525</xdr:rowOff>
    </xdr:from>
    <xdr:ext cx="571500" cy="571500"/>
    <xdr:pic>
      <xdr:nvPicPr>
        <xdr:cNvPr id="146" name="/xl/media/image27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108</xdr:row>
      <xdr:rowOff>9525</xdr:rowOff>
    </xdr:from>
    <xdr:ext cx="571500" cy="571500"/>
    <xdr:pic>
      <xdr:nvPicPr>
        <xdr:cNvPr id="147" name="/xl/media/image275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108</xdr:row>
      <xdr:rowOff>9525</xdr:rowOff>
    </xdr:from>
    <xdr:ext cx="571500" cy="571500"/>
    <xdr:pic>
      <xdr:nvPicPr>
        <xdr:cNvPr id="148" name="/xl/media/image272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110</xdr:row>
      <xdr:rowOff>9525</xdr:rowOff>
    </xdr:from>
    <xdr:ext cx="571500" cy="571500"/>
    <xdr:pic>
      <xdr:nvPicPr>
        <xdr:cNvPr id="149" name="/xl/media/image274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107</xdr:row>
      <xdr:rowOff>19050</xdr:rowOff>
    </xdr:from>
    <xdr:ext cx="647700" cy="647700"/>
    <xdr:pic>
      <xdr:nvPicPr>
        <xdr:cNvPr id="150" name="/xl/media/image28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108</xdr:row>
      <xdr:rowOff>9525</xdr:rowOff>
    </xdr:from>
    <xdr:ext cx="571500" cy="571500"/>
    <xdr:pic>
      <xdr:nvPicPr>
        <xdr:cNvPr id="151" name="/xl/media/image291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108</xdr:row>
      <xdr:rowOff>9525</xdr:rowOff>
    </xdr:from>
    <xdr:ext cx="571500" cy="571500"/>
    <xdr:pic>
      <xdr:nvPicPr>
        <xdr:cNvPr id="152" name="/xl/media/image29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108</xdr:row>
      <xdr:rowOff>9525</xdr:rowOff>
    </xdr:from>
    <xdr:ext cx="571500" cy="571500"/>
    <xdr:pic>
      <xdr:nvPicPr>
        <xdr:cNvPr id="153" name="/xl/media/image292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110</xdr:row>
      <xdr:rowOff>9525</xdr:rowOff>
    </xdr:from>
    <xdr:ext cx="571500" cy="571500"/>
    <xdr:pic>
      <xdr:nvPicPr>
        <xdr:cNvPr id="154" name="/xl/media/image290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113</xdr:row>
      <xdr:rowOff>428625</xdr:rowOff>
    </xdr:from>
    <xdr:ext cx="1438275" cy="1438275"/>
    <xdr:pic>
      <xdr:nvPicPr>
        <xdr:cNvPr id="155" name="/xl/media/image30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114</xdr:row>
      <xdr:rowOff>19050</xdr:rowOff>
    </xdr:from>
    <xdr:ext cx="647700" cy="647700"/>
    <xdr:pic>
      <xdr:nvPicPr>
        <xdr:cNvPr id="156" name="/xl/media/image304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115</xdr:row>
      <xdr:rowOff>9525</xdr:rowOff>
    </xdr:from>
    <xdr:ext cx="571500" cy="571500"/>
    <xdr:pic>
      <xdr:nvPicPr>
        <xdr:cNvPr id="157" name="/xl/media/image27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115</xdr:row>
      <xdr:rowOff>9525</xdr:rowOff>
    </xdr:from>
    <xdr:ext cx="571500" cy="571500"/>
    <xdr:pic>
      <xdr:nvPicPr>
        <xdr:cNvPr id="158" name="/xl/media/image275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115</xdr:row>
      <xdr:rowOff>9525</xdr:rowOff>
    </xdr:from>
    <xdr:ext cx="571500" cy="571500"/>
    <xdr:pic>
      <xdr:nvPicPr>
        <xdr:cNvPr id="159" name="/xl/media/image272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117</xdr:row>
      <xdr:rowOff>9525</xdr:rowOff>
    </xdr:from>
    <xdr:ext cx="571500" cy="571500"/>
    <xdr:pic>
      <xdr:nvPicPr>
        <xdr:cNvPr id="160" name="/xl/media/image274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114</xdr:row>
      <xdr:rowOff>19050</xdr:rowOff>
    </xdr:from>
    <xdr:ext cx="647700" cy="647700"/>
    <xdr:pic>
      <xdr:nvPicPr>
        <xdr:cNvPr id="161" name="/xl/media/image304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115</xdr:row>
      <xdr:rowOff>9525</xdr:rowOff>
    </xdr:from>
    <xdr:ext cx="571500" cy="571500"/>
    <xdr:pic>
      <xdr:nvPicPr>
        <xdr:cNvPr id="162" name="/xl/media/image291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115</xdr:row>
      <xdr:rowOff>9525</xdr:rowOff>
    </xdr:from>
    <xdr:ext cx="571500" cy="571500"/>
    <xdr:pic>
      <xdr:nvPicPr>
        <xdr:cNvPr id="163" name="/xl/media/image29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115</xdr:row>
      <xdr:rowOff>9525</xdr:rowOff>
    </xdr:from>
    <xdr:ext cx="571500" cy="571500"/>
    <xdr:pic>
      <xdr:nvPicPr>
        <xdr:cNvPr id="164" name="/xl/media/image292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117</xdr:row>
      <xdr:rowOff>9525</xdr:rowOff>
    </xdr:from>
    <xdr:ext cx="571500" cy="571500"/>
    <xdr:pic>
      <xdr:nvPicPr>
        <xdr:cNvPr id="165" name="/xl/media/image290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120</xdr:row>
      <xdr:rowOff>428625</xdr:rowOff>
    </xdr:from>
    <xdr:ext cx="1438275" cy="1438275"/>
    <xdr:pic>
      <xdr:nvPicPr>
        <xdr:cNvPr id="166" name="/xl/media/image305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121</xdr:row>
      <xdr:rowOff>19050</xdr:rowOff>
    </xdr:from>
    <xdr:ext cx="647700" cy="647700"/>
    <xdr:pic>
      <xdr:nvPicPr>
        <xdr:cNvPr id="167" name="/xl/media/image306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122</xdr:row>
      <xdr:rowOff>9525</xdr:rowOff>
    </xdr:from>
    <xdr:ext cx="571500" cy="571500"/>
    <xdr:pic>
      <xdr:nvPicPr>
        <xdr:cNvPr id="168" name="/xl/media/image27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122</xdr:row>
      <xdr:rowOff>9525</xdr:rowOff>
    </xdr:from>
    <xdr:ext cx="571500" cy="571500"/>
    <xdr:pic>
      <xdr:nvPicPr>
        <xdr:cNvPr id="169" name="/xl/media/image275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122</xdr:row>
      <xdr:rowOff>9525</xdr:rowOff>
    </xdr:from>
    <xdr:ext cx="571500" cy="571500"/>
    <xdr:pic>
      <xdr:nvPicPr>
        <xdr:cNvPr id="170" name="/xl/media/image272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124</xdr:row>
      <xdr:rowOff>9525</xdr:rowOff>
    </xdr:from>
    <xdr:ext cx="571500" cy="571500"/>
    <xdr:pic>
      <xdr:nvPicPr>
        <xdr:cNvPr id="171" name="/xl/media/image274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121</xdr:row>
      <xdr:rowOff>19050</xdr:rowOff>
    </xdr:from>
    <xdr:ext cx="647700" cy="647700"/>
    <xdr:pic>
      <xdr:nvPicPr>
        <xdr:cNvPr id="172" name="/xl/media/image306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122</xdr:row>
      <xdr:rowOff>9525</xdr:rowOff>
    </xdr:from>
    <xdr:ext cx="571500" cy="571500"/>
    <xdr:pic>
      <xdr:nvPicPr>
        <xdr:cNvPr id="173" name="/xl/media/image291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122</xdr:row>
      <xdr:rowOff>9525</xdr:rowOff>
    </xdr:from>
    <xdr:ext cx="571500" cy="571500"/>
    <xdr:pic>
      <xdr:nvPicPr>
        <xdr:cNvPr id="174" name="/xl/media/image29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122</xdr:row>
      <xdr:rowOff>9525</xdr:rowOff>
    </xdr:from>
    <xdr:ext cx="571500" cy="571500"/>
    <xdr:pic>
      <xdr:nvPicPr>
        <xdr:cNvPr id="175" name="/xl/media/image292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124</xdr:row>
      <xdr:rowOff>9525</xdr:rowOff>
    </xdr:from>
    <xdr:ext cx="571500" cy="571500"/>
    <xdr:pic>
      <xdr:nvPicPr>
        <xdr:cNvPr id="176" name="/xl/media/image290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127</xdr:row>
      <xdr:rowOff>428625</xdr:rowOff>
    </xdr:from>
    <xdr:ext cx="1438275" cy="1438275"/>
    <xdr:pic>
      <xdr:nvPicPr>
        <xdr:cNvPr id="177" name="/xl/media/image307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128</xdr:row>
      <xdr:rowOff>19050</xdr:rowOff>
    </xdr:from>
    <xdr:ext cx="647700" cy="647700"/>
    <xdr:pic>
      <xdr:nvPicPr>
        <xdr:cNvPr id="178" name="/xl/media/image308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129</xdr:row>
      <xdr:rowOff>9525</xdr:rowOff>
    </xdr:from>
    <xdr:ext cx="571500" cy="571500"/>
    <xdr:pic>
      <xdr:nvPicPr>
        <xdr:cNvPr id="179" name="/xl/media/image27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129</xdr:row>
      <xdr:rowOff>9525</xdr:rowOff>
    </xdr:from>
    <xdr:ext cx="571500" cy="571500"/>
    <xdr:pic>
      <xdr:nvPicPr>
        <xdr:cNvPr id="180" name="/xl/media/image275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129</xdr:row>
      <xdr:rowOff>9525</xdr:rowOff>
    </xdr:from>
    <xdr:ext cx="571500" cy="571500"/>
    <xdr:pic>
      <xdr:nvPicPr>
        <xdr:cNvPr id="181" name="/xl/media/image272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131</xdr:row>
      <xdr:rowOff>9525</xdr:rowOff>
    </xdr:from>
    <xdr:ext cx="571500" cy="571500"/>
    <xdr:pic>
      <xdr:nvPicPr>
        <xdr:cNvPr id="182" name="/xl/media/image274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128</xdr:row>
      <xdr:rowOff>19050</xdr:rowOff>
    </xdr:from>
    <xdr:ext cx="647700" cy="647700"/>
    <xdr:pic>
      <xdr:nvPicPr>
        <xdr:cNvPr id="183" name="/xl/media/image308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129</xdr:row>
      <xdr:rowOff>9525</xdr:rowOff>
    </xdr:from>
    <xdr:ext cx="571500" cy="571500"/>
    <xdr:pic>
      <xdr:nvPicPr>
        <xdr:cNvPr id="184" name="/xl/media/image291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129</xdr:row>
      <xdr:rowOff>9525</xdr:rowOff>
    </xdr:from>
    <xdr:ext cx="571500" cy="571500"/>
    <xdr:pic>
      <xdr:nvPicPr>
        <xdr:cNvPr id="185" name="/xl/media/image29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129</xdr:row>
      <xdr:rowOff>9525</xdr:rowOff>
    </xdr:from>
    <xdr:ext cx="571500" cy="571500"/>
    <xdr:pic>
      <xdr:nvPicPr>
        <xdr:cNvPr id="186" name="/xl/media/image292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131</xdr:row>
      <xdr:rowOff>9525</xdr:rowOff>
    </xdr:from>
    <xdr:ext cx="571500" cy="571500"/>
    <xdr:pic>
      <xdr:nvPicPr>
        <xdr:cNvPr id="187" name="/xl/media/image290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134</xdr:row>
      <xdr:rowOff>428625</xdr:rowOff>
    </xdr:from>
    <xdr:ext cx="1438275" cy="1438275"/>
    <xdr:pic>
      <xdr:nvPicPr>
        <xdr:cNvPr id="188" name="/xl/media/image287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135</xdr:row>
      <xdr:rowOff>19050</xdr:rowOff>
    </xdr:from>
    <xdr:ext cx="647700" cy="647700"/>
    <xdr:pic>
      <xdr:nvPicPr>
        <xdr:cNvPr id="189" name="/xl/media/image28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136</xdr:row>
      <xdr:rowOff>9525</xdr:rowOff>
    </xdr:from>
    <xdr:ext cx="571500" cy="571500"/>
    <xdr:pic>
      <xdr:nvPicPr>
        <xdr:cNvPr id="190" name="/xl/media/image27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136</xdr:row>
      <xdr:rowOff>9525</xdr:rowOff>
    </xdr:from>
    <xdr:ext cx="571500" cy="571500"/>
    <xdr:pic>
      <xdr:nvPicPr>
        <xdr:cNvPr id="191" name="/xl/media/image275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136</xdr:row>
      <xdr:rowOff>9525</xdr:rowOff>
    </xdr:from>
    <xdr:ext cx="571500" cy="571500"/>
    <xdr:pic>
      <xdr:nvPicPr>
        <xdr:cNvPr id="192" name="/xl/media/image272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138</xdr:row>
      <xdr:rowOff>9525</xdr:rowOff>
    </xdr:from>
    <xdr:ext cx="571500" cy="571500"/>
    <xdr:pic>
      <xdr:nvPicPr>
        <xdr:cNvPr id="193" name="/xl/media/image274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135</xdr:row>
      <xdr:rowOff>19050</xdr:rowOff>
    </xdr:from>
    <xdr:ext cx="647700" cy="647700"/>
    <xdr:pic>
      <xdr:nvPicPr>
        <xdr:cNvPr id="194" name="/xl/media/image28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136</xdr:row>
      <xdr:rowOff>9525</xdr:rowOff>
    </xdr:from>
    <xdr:ext cx="571500" cy="571500"/>
    <xdr:pic>
      <xdr:nvPicPr>
        <xdr:cNvPr id="195" name="/xl/media/image291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136</xdr:row>
      <xdr:rowOff>9525</xdr:rowOff>
    </xdr:from>
    <xdr:ext cx="571500" cy="571500"/>
    <xdr:pic>
      <xdr:nvPicPr>
        <xdr:cNvPr id="196" name="/xl/media/image29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136</xdr:row>
      <xdr:rowOff>9525</xdr:rowOff>
    </xdr:from>
    <xdr:ext cx="571500" cy="571500"/>
    <xdr:pic>
      <xdr:nvPicPr>
        <xdr:cNvPr id="197" name="/xl/media/image292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138</xdr:row>
      <xdr:rowOff>9525</xdr:rowOff>
    </xdr:from>
    <xdr:ext cx="571500" cy="571500"/>
    <xdr:pic>
      <xdr:nvPicPr>
        <xdr:cNvPr id="198" name="/xl/media/image290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141</xdr:row>
      <xdr:rowOff>428625</xdr:rowOff>
    </xdr:from>
    <xdr:ext cx="1438275" cy="1438275"/>
    <xdr:pic>
      <xdr:nvPicPr>
        <xdr:cNvPr id="199" name="/xl/media/image309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142</xdr:row>
      <xdr:rowOff>19050</xdr:rowOff>
    </xdr:from>
    <xdr:ext cx="647700" cy="647700"/>
    <xdr:pic>
      <xdr:nvPicPr>
        <xdr:cNvPr id="200" name="/xl/media/image310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143</xdr:row>
      <xdr:rowOff>9525</xdr:rowOff>
    </xdr:from>
    <xdr:ext cx="571500" cy="571500"/>
    <xdr:pic>
      <xdr:nvPicPr>
        <xdr:cNvPr id="201" name="/xl/media/image275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143</xdr:row>
      <xdr:rowOff>9525</xdr:rowOff>
    </xdr:from>
    <xdr:ext cx="571500" cy="571500"/>
    <xdr:pic>
      <xdr:nvPicPr>
        <xdr:cNvPr id="202" name="/xl/media/image272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143</xdr:row>
      <xdr:rowOff>9525</xdr:rowOff>
    </xdr:from>
    <xdr:ext cx="571500" cy="571500"/>
    <xdr:pic>
      <xdr:nvPicPr>
        <xdr:cNvPr id="203" name="/xl/media/image274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142</xdr:row>
      <xdr:rowOff>19050</xdr:rowOff>
    </xdr:from>
    <xdr:ext cx="647700" cy="647700"/>
    <xdr:pic>
      <xdr:nvPicPr>
        <xdr:cNvPr id="204" name="/xl/media/image310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143</xdr:row>
      <xdr:rowOff>9525</xdr:rowOff>
    </xdr:from>
    <xdr:ext cx="571500" cy="571500"/>
    <xdr:pic>
      <xdr:nvPicPr>
        <xdr:cNvPr id="205" name="/xl/media/image29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143</xdr:row>
      <xdr:rowOff>9525</xdr:rowOff>
    </xdr:from>
    <xdr:ext cx="571500" cy="571500"/>
    <xdr:pic>
      <xdr:nvPicPr>
        <xdr:cNvPr id="206" name="/xl/media/image292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143</xdr:row>
      <xdr:rowOff>9525</xdr:rowOff>
    </xdr:from>
    <xdr:ext cx="571500" cy="571500"/>
    <xdr:pic>
      <xdr:nvPicPr>
        <xdr:cNvPr id="207" name="/xl/media/image290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148</xdr:row>
      <xdr:rowOff>428625</xdr:rowOff>
    </xdr:from>
    <xdr:ext cx="1438275" cy="1438275"/>
    <xdr:pic>
      <xdr:nvPicPr>
        <xdr:cNvPr id="208" name="/xl/media/image278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149</xdr:row>
      <xdr:rowOff>19050</xdr:rowOff>
    </xdr:from>
    <xdr:ext cx="647700" cy="647700"/>
    <xdr:pic>
      <xdr:nvPicPr>
        <xdr:cNvPr id="209" name="/xl/media/image310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150</xdr:row>
      <xdr:rowOff>9525</xdr:rowOff>
    </xdr:from>
    <xdr:ext cx="571500" cy="571500"/>
    <xdr:pic>
      <xdr:nvPicPr>
        <xdr:cNvPr id="210" name="/xl/media/image275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150</xdr:row>
      <xdr:rowOff>9525</xdr:rowOff>
    </xdr:from>
    <xdr:ext cx="571500" cy="571500"/>
    <xdr:pic>
      <xdr:nvPicPr>
        <xdr:cNvPr id="211" name="/xl/media/image272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150</xdr:row>
      <xdr:rowOff>9525</xdr:rowOff>
    </xdr:from>
    <xdr:ext cx="571500" cy="571500"/>
    <xdr:pic>
      <xdr:nvPicPr>
        <xdr:cNvPr id="212" name="/xl/media/image274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149</xdr:row>
      <xdr:rowOff>19050</xdr:rowOff>
    </xdr:from>
    <xdr:ext cx="647700" cy="647700"/>
    <xdr:pic>
      <xdr:nvPicPr>
        <xdr:cNvPr id="213" name="/xl/media/image310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150</xdr:row>
      <xdr:rowOff>9525</xdr:rowOff>
    </xdr:from>
    <xdr:ext cx="571500" cy="571500"/>
    <xdr:pic>
      <xdr:nvPicPr>
        <xdr:cNvPr id="214" name="/xl/media/image29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150</xdr:row>
      <xdr:rowOff>9525</xdr:rowOff>
    </xdr:from>
    <xdr:ext cx="571500" cy="571500"/>
    <xdr:pic>
      <xdr:nvPicPr>
        <xdr:cNvPr id="215" name="/xl/media/image292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150</xdr:row>
      <xdr:rowOff>9525</xdr:rowOff>
    </xdr:from>
    <xdr:ext cx="571500" cy="571500"/>
    <xdr:pic>
      <xdr:nvPicPr>
        <xdr:cNvPr id="216" name="/xl/media/image290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155</xdr:row>
      <xdr:rowOff>428625</xdr:rowOff>
    </xdr:from>
    <xdr:ext cx="1438275" cy="1438275"/>
    <xdr:pic>
      <xdr:nvPicPr>
        <xdr:cNvPr id="217" name="/xl/media/image311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156</xdr:row>
      <xdr:rowOff>19050</xdr:rowOff>
    </xdr:from>
    <xdr:ext cx="647700" cy="647700"/>
    <xdr:pic>
      <xdr:nvPicPr>
        <xdr:cNvPr id="218" name="/xl/media/image312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157</xdr:row>
      <xdr:rowOff>9525</xdr:rowOff>
    </xdr:from>
    <xdr:ext cx="571500" cy="571500"/>
    <xdr:pic>
      <xdr:nvPicPr>
        <xdr:cNvPr id="219" name="/xl/media/image275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157</xdr:row>
      <xdr:rowOff>9525</xdr:rowOff>
    </xdr:from>
    <xdr:ext cx="571500" cy="571500"/>
    <xdr:pic>
      <xdr:nvPicPr>
        <xdr:cNvPr id="220" name="/xl/media/image272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157</xdr:row>
      <xdr:rowOff>9525</xdr:rowOff>
    </xdr:from>
    <xdr:ext cx="571500" cy="571500"/>
    <xdr:pic>
      <xdr:nvPicPr>
        <xdr:cNvPr id="221" name="/xl/media/image274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156</xdr:row>
      <xdr:rowOff>19050</xdr:rowOff>
    </xdr:from>
    <xdr:ext cx="647700" cy="647700"/>
    <xdr:pic>
      <xdr:nvPicPr>
        <xdr:cNvPr id="222" name="/xl/media/image312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157</xdr:row>
      <xdr:rowOff>9525</xdr:rowOff>
    </xdr:from>
    <xdr:ext cx="571500" cy="571500"/>
    <xdr:pic>
      <xdr:nvPicPr>
        <xdr:cNvPr id="223" name="/xl/media/image29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157</xdr:row>
      <xdr:rowOff>9525</xdr:rowOff>
    </xdr:from>
    <xdr:ext cx="571500" cy="571500"/>
    <xdr:pic>
      <xdr:nvPicPr>
        <xdr:cNvPr id="224" name="/xl/media/image292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157</xdr:row>
      <xdr:rowOff>9525</xdr:rowOff>
    </xdr:from>
    <xdr:ext cx="571500" cy="571500"/>
    <xdr:pic>
      <xdr:nvPicPr>
        <xdr:cNvPr id="225" name="/xl/media/image290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162</xdr:row>
      <xdr:rowOff>428625</xdr:rowOff>
    </xdr:from>
    <xdr:ext cx="1438275" cy="1438275"/>
    <xdr:pic>
      <xdr:nvPicPr>
        <xdr:cNvPr id="226" name="/xl/media/image3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163</xdr:row>
      <xdr:rowOff>19050</xdr:rowOff>
    </xdr:from>
    <xdr:ext cx="647700" cy="647700"/>
    <xdr:pic>
      <xdr:nvPicPr>
        <xdr:cNvPr id="227" name="/xl/media/image314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164</xdr:row>
      <xdr:rowOff>9525</xdr:rowOff>
    </xdr:from>
    <xdr:ext cx="571500" cy="571500"/>
    <xdr:pic>
      <xdr:nvPicPr>
        <xdr:cNvPr id="228" name="/xl/media/image275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164</xdr:row>
      <xdr:rowOff>9525</xdr:rowOff>
    </xdr:from>
    <xdr:ext cx="571500" cy="571500"/>
    <xdr:pic>
      <xdr:nvPicPr>
        <xdr:cNvPr id="229" name="/xl/media/image272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164</xdr:row>
      <xdr:rowOff>9525</xdr:rowOff>
    </xdr:from>
    <xdr:ext cx="571500" cy="571500"/>
    <xdr:pic>
      <xdr:nvPicPr>
        <xdr:cNvPr id="230" name="/xl/media/image274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163</xdr:row>
      <xdr:rowOff>19050</xdr:rowOff>
    </xdr:from>
    <xdr:ext cx="647700" cy="647700"/>
    <xdr:pic>
      <xdr:nvPicPr>
        <xdr:cNvPr id="231" name="/xl/media/image314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164</xdr:row>
      <xdr:rowOff>9525</xdr:rowOff>
    </xdr:from>
    <xdr:ext cx="571500" cy="571500"/>
    <xdr:pic>
      <xdr:nvPicPr>
        <xdr:cNvPr id="232" name="/xl/media/image29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164</xdr:row>
      <xdr:rowOff>9525</xdr:rowOff>
    </xdr:from>
    <xdr:ext cx="571500" cy="571500"/>
    <xdr:pic>
      <xdr:nvPicPr>
        <xdr:cNvPr id="233" name="/xl/media/image292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164</xdr:row>
      <xdr:rowOff>9525</xdr:rowOff>
    </xdr:from>
    <xdr:ext cx="571500" cy="571500"/>
    <xdr:pic>
      <xdr:nvPicPr>
        <xdr:cNvPr id="234" name="/xl/media/image290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169</xdr:row>
      <xdr:rowOff>428625</xdr:rowOff>
    </xdr:from>
    <xdr:ext cx="1438275" cy="1438275"/>
    <xdr:pic>
      <xdr:nvPicPr>
        <xdr:cNvPr id="235" name="/xl/media/image315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170</xdr:row>
      <xdr:rowOff>19050</xdr:rowOff>
    </xdr:from>
    <xdr:ext cx="647700" cy="647700"/>
    <xdr:pic>
      <xdr:nvPicPr>
        <xdr:cNvPr id="236" name="/xl/media/image316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171</xdr:row>
      <xdr:rowOff>9525</xdr:rowOff>
    </xdr:from>
    <xdr:ext cx="571500" cy="571500"/>
    <xdr:pic>
      <xdr:nvPicPr>
        <xdr:cNvPr id="237" name="/xl/media/image275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171</xdr:row>
      <xdr:rowOff>9525</xdr:rowOff>
    </xdr:from>
    <xdr:ext cx="571500" cy="571500"/>
    <xdr:pic>
      <xdr:nvPicPr>
        <xdr:cNvPr id="238" name="/xl/media/image272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171</xdr:row>
      <xdr:rowOff>9525</xdr:rowOff>
    </xdr:from>
    <xdr:ext cx="571500" cy="571500"/>
    <xdr:pic>
      <xdr:nvPicPr>
        <xdr:cNvPr id="239" name="/xl/media/image274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170</xdr:row>
      <xdr:rowOff>19050</xdr:rowOff>
    </xdr:from>
    <xdr:ext cx="647700" cy="647700"/>
    <xdr:pic>
      <xdr:nvPicPr>
        <xdr:cNvPr id="240" name="/xl/media/image316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171</xdr:row>
      <xdr:rowOff>9525</xdr:rowOff>
    </xdr:from>
    <xdr:ext cx="571500" cy="571500"/>
    <xdr:pic>
      <xdr:nvPicPr>
        <xdr:cNvPr id="241" name="/xl/media/image29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171</xdr:row>
      <xdr:rowOff>9525</xdr:rowOff>
    </xdr:from>
    <xdr:ext cx="571500" cy="571500"/>
    <xdr:pic>
      <xdr:nvPicPr>
        <xdr:cNvPr id="242" name="/xl/media/image292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171</xdr:row>
      <xdr:rowOff>9525</xdr:rowOff>
    </xdr:from>
    <xdr:ext cx="571500" cy="571500"/>
    <xdr:pic>
      <xdr:nvPicPr>
        <xdr:cNvPr id="243" name="/xl/media/image290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176</xdr:row>
      <xdr:rowOff>428625</xdr:rowOff>
    </xdr:from>
    <xdr:ext cx="1438275" cy="1438275"/>
    <xdr:pic>
      <xdr:nvPicPr>
        <xdr:cNvPr id="244" name="/xl/media/image317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177</xdr:row>
      <xdr:rowOff>19050</xdr:rowOff>
    </xdr:from>
    <xdr:ext cx="647700" cy="647700"/>
    <xdr:pic>
      <xdr:nvPicPr>
        <xdr:cNvPr id="245" name="/xl/media/image318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178</xdr:row>
      <xdr:rowOff>9525</xdr:rowOff>
    </xdr:from>
    <xdr:ext cx="571500" cy="571500"/>
    <xdr:pic>
      <xdr:nvPicPr>
        <xdr:cNvPr id="246" name="/xl/media/image275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178</xdr:row>
      <xdr:rowOff>9525</xdr:rowOff>
    </xdr:from>
    <xdr:ext cx="571500" cy="571500"/>
    <xdr:pic>
      <xdr:nvPicPr>
        <xdr:cNvPr id="247" name="/xl/media/image272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178</xdr:row>
      <xdr:rowOff>9525</xdr:rowOff>
    </xdr:from>
    <xdr:ext cx="571500" cy="571500"/>
    <xdr:pic>
      <xdr:nvPicPr>
        <xdr:cNvPr id="248" name="/xl/media/image274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177</xdr:row>
      <xdr:rowOff>19050</xdr:rowOff>
    </xdr:from>
    <xdr:ext cx="647700" cy="647700"/>
    <xdr:pic>
      <xdr:nvPicPr>
        <xdr:cNvPr id="249" name="/xl/media/image318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178</xdr:row>
      <xdr:rowOff>9525</xdr:rowOff>
    </xdr:from>
    <xdr:ext cx="571500" cy="571500"/>
    <xdr:pic>
      <xdr:nvPicPr>
        <xdr:cNvPr id="250" name="/xl/media/image29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178</xdr:row>
      <xdr:rowOff>9525</xdr:rowOff>
    </xdr:from>
    <xdr:ext cx="571500" cy="571500"/>
    <xdr:pic>
      <xdr:nvPicPr>
        <xdr:cNvPr id="251" name="/xl/media/image292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178</xdr:row>
      <xdr:rowOff>9525</xdr:rowOff>
    </xdr:from>
    <xdr:ext cx="571500" cy="571500"/>
    <xdr:pic>
      <xdr:nvPicPr>
        <xdr:cNvPr id="252" name="/xl/media/image290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183</xdr:row>
      <xdr:rowOff>428625</xdr:rowOff>
    </xdr:from>
    <xdr:ext cx="1438275" cy="1438275"/>
    <xdr:pic>
      <xdr:nvPicPr>
        <xdr:cNvPr id="253" name="/xl/media/image319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184</xdr:row>
      <xdr:rowOff>19050</xdr:rowOff>
    </xdr:from>
    <xdr:ext cx="647700" cy="647700"/>
    <xdr:pic>
      <xdr:nvPicPr>
        <xdr:cNvPr id="254" name="/xl/media/image320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185</xdr:row>
      <xdr:rowOff>9525</xdr:rowOff>
    </xdr:from>
    <xdr:ext cx="571500" cy="571500"/>
    <xdr:pic>
      <xdr:nvPicPr>
        <xdr:cNvPr id="255" name="/xl/media/image27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185</xdr:row>
      <xdr:rowOff>9525</xdr:rowOff>
    </xdr:from>
    <xdr:ext cx="571500" cy="571500"/>
    <xdr:pic>
      <xdr:nvPicPr>
        <xdr:cNvPr id="256" name="/xl/media/image275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185</xdr:row>
      <xdr:rowOff>9525</xdr:rowOff>
    </xdr:from>
    <xdr:ext cx="571500" cy="571500"/>
    <xdr:pic>
      <xdr:nvPicPr>
        <xdr:cNvPr id="257" name="/xl/media/image272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187</xdr:row>
      <xdr:rowOff>9525</xdr:rowOff>
    </xdr:from>
    <xdr:ext cx="571500" cy="571500"/>
    <xdr:pic>
      <xdr:nvPicPr>
        <xdr:cNvPr id="258" name="/xl/media/image274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184</xdr:row>
      <xdr:rowOff>19050</xdr:rowOff>
    </xdr:from>
    <xdr:ext cx="647700" cy="647700"/>
    <xdr:pic>
      <xdr:nvPicPr>
        <xdr:cNvPr id="259" name="/xl/media/image320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185</xdr:row>
      <xdr:rowOff>9525</xdr:rowOff>
    </xdr:from>
    <xdr:ext cx="571500" cy="571500"/>
    <xdr:pic>
      <xdr:nvPicPr>
        <xdr:cNvPr id="260" name="/xl/media/image291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185</xdr:row>
      <xdr:rowOff>9525</xdr:rowOff>
    </xdr:from>
    <xdr:ext cx="571500" cy="571500"/>
    <xdr:pic>
      <xdr:nvPicPr>
        <xdr:cNvPr id="261" name="/xl/media/image29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185</xdr:row>
      <xdr:rowOff>9525</xdr:rowOff>
    </xdr:from>
    <xdr:ext cx="571500" cy="571500"/>
    <xdr:pic>
      <xdr:nvPicPr>
        <xdr:cNvPr id="262" name="/xl/media/image292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187</xdr:row>
      <xdr:rowOff>9525</xdr:rowOff>
    </xdr:from>
    <xdr:ext cx="571500" cy="571500"/>
    <xdr:pic>
      <xdr:nvPicPr>
        <xdr:cNvPr id="263" name="/xl/media/image290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190</xdr:row>
      <xdr:rowOff>428625</xdr:rowOff>
    </xdr:from>
    <xdr:ext cx="1438275" cy="1438275"/>
    <xdr:pic>
      <xdr:nvPicPr>
        <xdr:cNvPr id="264" name="/xl/media/image321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191</xdr:row>
      <xdr:rowOff>19050</xdr:rowOff>
    </xdr:from>
    <xdr:ext cx="647700" cy="647700"/>
    <xdr:pic>
      <xdr:nvPicPr>
        <xdr:cNvPr id="265" name="/xl/media/image322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192</xdr:row>
      <xdr:rowOff>9525</xdr:rowOff>
    </xdr:from>
    <xdr:ext cx="571500" cy="571500"/>
    <xdr:pic>
      <xdr:nvPicPr>
        <xdr:cNvPr id="266" name="/xl/media/image27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192</xdr:row>
      <xdr:rowOff>9525</xdr:rowOff>
    </xdr:from>
    <xdr:ext cx="571500" cy="571500"/>
    <xdr:pic>
      <xdr:nvPicPr>
        <xdr:cNvPr id="267" name="/xl/media/image275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192</xdr:row>
      <xdr:rowOff>9525</xdr:rowOff>
    </xdr:from>
    <xdr:ext cx="571500" cy="571500"/>
    <xdr:pic>
      <xdr:nvPicPr>
        <xdr:cNvPr id="268" name="/xl/media/image272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194</xdr:row>
      <xdr:rowOff>9525</xdr:rowOff>
    </xdr:from>
    <xdr:ext cx="571500" cy="571500"/>
    <xdr:pic>
      <xdr:nvPicPr>
        <xdr:cNvPr id="269" name="/xl/media/image274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191</xdr:row>
      <xdr:rowOff>19050</xdr:rowOff>
    </xdr:from>
    <xdr:ext cx="647700" cy="647700"/>
    <xdr:pic>
      <xdr:nvPicPr>
        <xdr:cNvPr id="270" name="/xl/media/image322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192</xdr:row>
      <xdr:rowOff>9525</xdr:rowOff>
    </xdr:from>
    <xdr:ext cx="571500" cy="571500"/>
    <xdr:pic>
      <xdr:nvPicPr>
        <xdr:cNvPr id="271" name="/xl/media/image291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192</xdr:row>
      <xdr:rowOff>9525</xdr:rowOff>
    </xdr:from>
    <xdr:ext cx="571500" cy="571500"/>
    <xdr:pic>
      <xdr:nvPicPr>
        <xdr:cNvPr id="272" name="/xl/media/image29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192</xdr:row>
      <xdr:rowOff>9525</xdr:rowOff>
    </xdr:from>
    <xdr:ext cx="571500" cy="571500"/>
    <xdr:pic>
      <xdr:nvPicPr>
        <xdr:cNvPr id="273" name="/xl/media/image292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194</xdr:row>
      <xdr:rowOff>9525</xdr:rowOff>
    </xdr:from>
    <xdr:ext cx="571500" cy="571500"/>
    <xdr:pic>
      <xdr:nvPicPr>
        <xdr:cNvPr id="274" name="/xl/media/image290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197</xdr:row>
      <xdr:rowOff>428625</xdr:rowOff>
    </xdr:from>
    <xdr:ext cx="1438275" cy="1438275"/>
    <xdr:pic>
      <xdr:nvPicPr>
        <xdr:cNvPr id="275" name="/xl/media/image32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198</xdr:row>
      <xdr:rowOff>19050</xdr:rowOff>
    </xdr:from>
    <xdr:ext cx="647700" cy="647700"/>
    <xdr:pic>
      <xdr:nvPicPr>
        <xdr:cNvPr id="276" name="/xl/media/image324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199</xdr:row>
      <xdr:rowOff>9525</xdr:rowOff>
    </xdr:from>
    <xdr:ext cx="571500" cy="571500"/>
    <xdr:pic>
      <xdr:nvPicPr>
        <xdr:cNvPr id="277" name="/xl/media/image27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199</xdr:row>
      <xdr:rowOff>9525</xdr:rowOff>
    </xdr:from>
    <xdr:ext cx="571500" cy="571500"/>
    <xdr:pic>
      <xdr:nvPicPr>
        <xdr:cNvPr id="278" name="/xl/media/image275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199</xdr:row>
      <xdr:rowOff>9525</xdr:rowOff>
    </xdr:from>
    <xdr:ext cx="571500" cy="571500"/>
    <xdr:pic>
      <xdr:nvPicPr>
        <xdr:cNvPr id="279" name="/xl/media/image272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201</xdr:row>
      <xdr:rowOff>9525</xdr:rowOff>
    </xdr:from>
    <xdr:ext cx="571500" cy="571500"/>
    <xdr:pic>
      <xdr:nvPicPr>
        <xdr:cNvPr id="280" name="/xl/media/image274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198</xdr:row>
      <xdr:rowOff>19050</xdr:rowOff>
    </xdr:from>
    <xdr:ext cx="647700" cy="647700"/>
    <xdr:pic>
      <xdr:nvPicPr>
        <xdr:cNvPr id="281" name="/xl/media/image324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199</xdr:row>
      <xdr:rowOff>9525</xdr:rowOff>
    </xdr:from>
    <xdr:ext cx="571500" cy="571500"/>
    <xdr:pic>
      <xdr:nvPicPr>
        <xdr:cNvPr id="282" name="/xl/media/image291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199</xdr:row>
      <xdr:rowOff>9525</xdr:rowOff>
    </xdr:from>
    <xdr:ext cx="571500" cy="571500"/>
    <xdr:pic>
      <xdr:nvPicPr>
        <xdr:cNvPr id="283" name="/xl/media/image29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199</xdr:row>
      <xdr:rowOff>9525</xdr:rowOff>
    </xdr:from>
    <xdr:ext cx="571500" cy="571500"/>
    <xdr:pic>
      <xdr:nvPicPr>
        <xdr:cNvPr id="284" name="/xl/media/image292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201</xdr:row>
      <xdr:rowOff>9525</xdr:rowOff>
    </xdr:from>
    <xdr:ext cx="571500" cy="571500"/>
    <xdr:pic>
      <xdr:nvPicPr>
        <xdr:cNvPr id="285" name="/xl/media/image290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204</xdr:row>
      <xdr:rowOff>428625</xdr:rowOff>
    </xdr:from>
    <xdr:ext cx="1438275" cy="1438275"/>
    <xdr:pic>
      <xdr:nvPicPr>
        <xdr:cNvPr id="286" name="/xl/media/image325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205</xdr:row>
      <xdr:rowOff>19050</xdr:rowOff>
    </xdr:from>
    <xdr:ext cx="647700" cy="647700"/>
    <xdr:pic>
      <xdr:nvPicPr>
        <xdr:cNvPr id="287" name="/xl/media/image326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206</xdr:row>
      <xdr:rowOff>9525</xdr:rowOff>
    </xdr:from>
    <xdr:ext cx="571500" cy="571500"/>
    <xdr:pic>
      <xdr:nvPicPr>
        <xdr:cNvPr id="288" name="/xl/media/image27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206</xdr:row>
      <xdr:rowOff>9525</xdr:rowOff>
    </xdr:from>
    <xdr:ext cx="571500" cy="571500"/>
    <xdr:pic>
      <xdr:nvPicPr>
        <xdr:cNvPr id="289" name="/xl/media/image275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206</xdr:row>
      <xdr:rowOff>9525</xdr:rowOff>
    </xdr:from>
    <xdr:ext cx="571500" cy="571500"/>
    <xdr:pic>
      <xdr:nvPicPr>
        <xdr:cNvPr id="290" name="/xl/media/image272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208</xdr:row>
      <xdr:rowOff>9525</xdr:rowOff>
    </xdr:from>
    <xdr:ext cx="571500" cy="571500"/>
    <xdr:pic>
      <xdr:nvPicPr>
        <xdr:cNvPr id="291" name="/xl/media/image274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205</xdr:row>
      <xdr:rowOff>19050</xdr:rowOff>
    </xdr:from>
    <xdr:ext cx="647700" cy="647700"/>
    <xdr:pic>
      <xdr:nvPicPr>
        <xdr:cNvPr id="292" name="/xl/media/image326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206</xdr:row>
      <xdr:rowOff>9525</xdr:rowOff>
    </xdr:from>
    <xdr:ext cx="571500" cy="571500"/>
    <xdr:pic>
      <xdr:nvPicPr>
        <xdr:cNvPr id="293" name="/xl/media/image291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206</xdr:row>
      <xdr:rowOff>9525</xdr:rowOff>
    </xdr:from>
    <xdr:ext cx="571500" cy="571500"/>
    <xdr:pic>
      <xdr:nvPicPr>
        <xdr:cNvPr id="294" name="/xl/media/image29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206</xdr:row>
      <xdr:rowOff>9525</xdr:rowOff>
    </xdr:from>
    <xdr:ext cx="571500" cy="571500"/>
    <xdr:pic>
      <xdr:nvPicPr>
        <xdr:cNvPr id="295" name="/xl/media/image292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208</xdr:row>
      <xdr:rowOff>9525</xdr:rowOff>
    </xdr:from>
    <xdr:ext cx="571500" cy="571500"/>
    <xdr:pic>
      <xdr:nvPicPr>
        <xdr:cNvPr id="296" name="/xl/media/image290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211</xdr:row>
      <xdr:rowOff>428625</xdr:rowOff>
    </xdr:from>
    <xdr:ext cx="1438275" cy="1438275"/>
    <xdr:pic>
      <xdr:nvPicPr>
        <xdr:cNvPr id="297" name="/xl/media/image327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212</xdr:row>
      <xdr:rowOff>19050</xdr:rowOff>
    </xdr:from>
    <xdr:ext cx="647700" cy="647700"/>
    <xdr:pic>
      <xdr:nvPicPr>
        <xdr:cNvPr id="298" name="/xl/media/image328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213</xdr:row>
      <xdr:rowOff>9525</xdr:rowOff>
    </xdr:from>
    <xdr:ext cx="571500" cy="571500"/>
    <xdr:pic>
      <xdr:nvPicPr>
        <xdr:cNvPr id="299" name="/xl/media/image27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213</xdr:row>
      <xdr:rowOff>9525</xdr:rowOff>
    </xdr:from>
    <xdr:ext cx="571500" cy="571500"/>
    <xdr:pic>
      <xdr:nvPicPr>
        <xdr:cNvPr id="300" name="/xl/media/image275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213</xdr:row>
      <xdr:rowOff>9525</xdr:rowOff>
    </xdr:from>
    <xdr:ext cx="571500" cy="571500"/>
    <xdr:pic>
      <xdr:nvPicPr>
        <xdr:cNvPr id="301" name="/xl/media/image272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215</xdr:row>
      <xdr:rowOff>9525</xdr:rowOff>
    </xdr:from>
    <xdr:ext cx="571500" cy="571500"/>
    <xdr:pic>
      <xdr:nvPicPr>
        <xdr:cNvPr id="302" name="/xl/media/image274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212</xdr:row>
      <xdr:rowOff>19050</xdr:rowOff>
    </xdr:from>
    <xdr:ext cx="647700" cy="647700"/>
    <xdr:pic>
      <xdr:nvPicPr>
        <xdr:cNvPr id="303" name="/xl/media/image328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213</xdr:row>
      <xdr:rowOff>9525</xdr:rowOff>
    </xdr:from>
    <xdr:ext cx="571500" cy="571500"/>
    <xdr:pic>
      <xdr:nvPicPr>
        <xdr:cNvPr id="304" name="/xl/media/image291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213</xdr:row>
      <xdr:rowOff>9525</xdr:rowOff>
    </xdr:from>
    <xdr:ext cx="571500" cy="571500"/>
    <xdr:pic>
      <xdr:nvPicPr>
        <xdr:cNvPr id="305" name="/xl/media/image29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213</xdr:row>
      <xdr:rowOff>9525</xdr:rowOff>
    </xdr:from>
    <xdr:ext cx="571500" cy="571500"/>
    <xdr:pic>
      <xdr:nvPicPr>
        <xdr:cNvPr id="306" name="/xl/media/image292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215</xdr:row>
      <xdr:rowOff>9525</xdr:rowOff>
    </xdr:from>
    <xdr:ext cx="571500" cy="571500"/>
    <xdr:pic>
      <xdr:nvPicPr>
        <xdr:cNvPr id="307" name="/xl/media/image290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218</xdr:row>
      <xdr:rowOff>428625</xdr:rowOff>
    </xdr:from>
    <xdr:ext cx="1438275" cy="1438275"/>
    <xdr:pic>
      <xdr:nvPicPr>
        <xdr:cNvPr id="308" name="/xl/media/image329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219</xdr:row>
      <xdr:rowOff>19050</xdr:rowOff>
    </xdr:from>
    <xdr:ext cx="647700" cy="647700"/>
    <xdr:pic>
      <xdr:nvPicPr>
        <xdr:cNvPr id="309" name="/xl/media/image330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220</xdr:row>
      <xdr:rowOff>9525</xdr:rowOff>
    </xdr:from>
    <xdr:ext cx="571500" cy="571500"/>
    <xdr:pic>
      <xdr:nvPicPr>
        <xdr:cNvPr id="310" name="/xl/media/image27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220</xdr:row>
      <xdr:rowOff>9525</xdr:rowOff>
    </xdr:from>
    <xdr:ext cx="571500" cy="571500"/>
    <xdr:pic>
      <xdr:nvPicPr>
        <xdr:cNvPr id="311" name="/xl/media/image275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220</xdr:row>
      <xdr:rowOff>9525</xdr:rowOff>
    </xdr:from>
    <xdr:ext cx="571500" cy="571500"/>
    <xdr:pic>
      <xdr:nvPicPr>
        <xdr:cNvPr id="312" name="/xl/media/image272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222</xdr:row>
      <xdr:rowOff>9525</xdr:rowOff>
    </xdr:from>
    <xdr:ext cx="571500" cy="571500"/>
    <xdr:pic>
      <xdr:nvPicPr>
        <xdr:cNvPr id="313" name="/xl/media/image274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219</xdr:row>
      <xdr:rowOff>19050</xdr:rowOff>
    </xdr:from>
    <xdr:ext cx="647700" cy="647700"/>
    <xdr:pic>
      <xdr:nvPicPr>
        <xdr:cNvPr id="314" name="/xl/media/image330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220</xdr:row>
      <xdr:rowOff>9525</xdr:rowOff>
    </xdr:from>
    <xdr:ext cx="571500" cy="571500"/>
    <xdr:pic>
      <xdr:nvPicPr>
        <xdr:cNvPr id="315" name="/xl/media/image290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220</xdr:row>
      <xdr:rowOff>9525</xdr:rowOff>
    </xdr:from>
    <xdr:ext cx="571500" cy="571500"/>
    <xdr:pic>
      <xdr:nvPicPr>
        <xdr:cNvPr id="316" name="/xl/media/image291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220</xdr:row>
      <xdr:rowOff>9525</xdr:rowOff>
    </xdr:from>
    <xdr:ext cx="571500" cy="571500"/>
    <xdr:pic>
      <xdr:nvPicPr>
        <xdr:cNvPr id="317" name="/xl/media/image292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222</xdr:row>
      <xdr:rowOff>9525</xdr:rowOff>
    </xdr:from>
    <xdr:ext cx="571500" cy="571500"/>
    <xdr:pic>
      <xdr:nvPicPr>
        <xdr:cNvPr id="318" name="/xl/media/image29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225</xdr:row>
      <xdr:rowOff>428625</xdr:rowOff>
    </xdr:from>
    <xdr:ext cx="1438275" cy="1438275"/>
    <xdr:pic>
      <xdr:nvPicPr>
        <xdr:cNvPr id="319" name="/xl/media/image331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226</xdr:row>
      <xdr:rowOff>19050</xdr:rowOff>
    </xdr:from>
    <xdr:ext cx="647700" cy="647700"/>
    <xdr:pic>
      <xdr:nvPicPr>
        <xdr:cNvPr id="320" name="/xl/media/image332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227</xdr:row>
      <xdr:rowOff>9525</xdr:rowOff>
    </xdr:from>
    <xdr:ext cx="571500" cy="571500"/>
    <xdr:pic>
      <xdr:nvPicPr>
        <xdr:cNvPr id="321" name="/xl/media/image27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227</xdr:row>
      <xdr:rowOff>9525</xdr:rowOff>
    </xdr:from>
    <xdr:ext cx="571500" cy="571500"/>
    <xdr:pic>
      <xdr:nvPicPr>
        <xdr:cNvPr id="322" name="/xl/media/image275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227</xdr:row>
      <xdr:rowOff>9525</xdr:rowOff>
    </xdr:from>
    <xdr:ext cx="571500" cy="571500"/>
    <xdr:pic>
      <xdr:nvPicPr>
        <xdr:cNvPr id="323" name="/xl/media/image272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229</xdr:row>
      <xdr:rowOff>9525</xdr:rowOff>
    </xdr:from>
    <xdr:ext cx="571500" cy="571500"/>
    <xdr:pic>
      <xdr:nvPicPr>
        <xdr:cNvPr id="324" name="/xl/media/image274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226</xdr:row>
      <xdr:rowOff>19050</xdr:rowOff>
    </xdr:from>
    <xdr:ext cx="647700" cy="647700"/>
    <xdr:pic>
      <xdr:nvPicPr>
        <xdr:cNvPr id="325" name="/xl/media/image332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227</xdr:row>
      <xdr:rowOff>9525</xdr:rowOff>
    </xdr:from>
    <xdr:ext cx="571500" cy="571500"/>
    <xdr:pic>
      <xdr:nvPicPr>
        <xdr:cNvPr id="326" name="/xl/media/image291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227</xdr:row>
      <xdr:rowOff>9525</xdr:rowOff>
    </xdr:from>
    <xdr:ext cx="571500" cy="571500"/>
    <xdr:pic>
      <xdr:nvPicPr>
        <xdr:cNvPr id="327" name="/xl/media/image29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227</xdr:row>
      <xdr:rowOff>9525</xdr:rowOff>
    </xdr:from>
    <xdr:ext cx="571500" cy="571500"/>
    <xdr:pic>
      <xdr:nvPicPr>
        <xdr:cNvPr id="328" name="/xl/media/image292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229</xdr:row>
      <xdr:rowOff>9525</xdr:rowOff>
    </xdr:from>
    <xdr:ext cx="571500" cy="571500"/>
    <xdr:pic>
      <xdr:nvPicPr>
        <xdr:cNvPr id="329" name="/xl/media/image290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232</xdr:row>
      <xdr:rowOff>428625</xdr:rowOff>
    </xdr:from>
    <xdr:ext cx="1438275" cy="1438275"/>
    <xdr:pic>
      <xdr:nvPicPr>
        <xdr:cNvPr id="330" name="/xl/media/image33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233</xdr:row>
      <xdr:rowOff>19050</xdr:rowOff>
    </xdr:from>
    <xdr:ext cx="647700" cy="647700"/>
    <xdr:pic>
      <xdr:nvPicPr>
        <xdr:cNvPr id="331" name="/xl/media/image294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234</xdr:row>
      <xdr:rowOff>9525</xdr:rowOff>
    </xdr:from>
    <xdr:ext cx="571500" cy="571500"/>
    <xdr:pic>
      <xdr:nvPicPr>
        <xdr:cNvPr id="332" name="/xl/media/image27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234</xdr:row>
      <xdr:rowOff>9525</xdr:rowOff>
    </xdr:from>
    <xdr:ext cx="571500" cy="571500"/>
    <xdr:pic>
      <xdr:nvPicPr>
        <xdr:cNvPr id="333" name="/xl/media/image275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234</xdr:row>
      <xdr:rowOff>9525</xdr:rowOff>
    </xdr:from>
    <xdr:ext cx="571500" cy="571500"/>
    <xdr:pic>
      <xdr:nvPicPr>
        <xdr:cNvPr id="334" name="/xl/media/image272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236</xdr:row>
      <xdr:rowOff>9525</xdr:rowOff>
    </xdr:from>
    <xdr:ext cx="571500" cy="571500"/>
    <xdr:pic>
      <xdr:nvPicPr>
        <xdr:cNvPr id="335" name="/xl/media/image274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233</xdr:row>
      <xdr:rowOff>19050</xdr:rowOff>
    </xdr:from>
    <xdr:ext cx="647700" cy="647700"/>
    <xdr:pic>
      <xdr:nvPicPr>
        <xdr:cNvPr id="336" name="/xl/media/image294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234</xdr:row>
      <xdr:rowOff>9525</xdr:rowOff>
    </xdr:from>
    <xdr:ext cx="571500" cy="571500"/>
    <xdr:pic>
      <xdr:nvPicPr>
        <xdr:cNvPr id="337" name="/xl/media/image291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234</xdr:row>
      <xdr:rowOff>9525</xdr:rowOff>
    </xdr:from>
    <xdr:ext cx="571500" cy="571500"/>
    <xdr:pic>
      <xdr:nvPicPr>
        <xdr:cNvPr id="338" name="/xl/media/image29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234</xdr:row>
      <xdr:rowOff>9525</xdr:rowOff>
    </xdr:from>
    <xdr:ext cx="571500" cy="571500"/>
    <xdr:pic>
      <xdr:nvPicPr>
        <xdr:cNvPr id="339" name="/xl/media/image292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236</xdr:row>
      <xdr:rowOff>9525</xdr:rowOff>
    </xdr:from>
    <xdr:ext cx="571500" cy="571500"/>
    <xdr:pic>
      <xdr:nvPicPr>
        <xdr:cNvPr id="340" name="/xl/media/image290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239</xdr:row>
      <xdr:rowOff>428625</xdr:rowOff>
    </xdr:from>
    <xdr:ext cx="1438275" cy="1438275"/>
    <xdr:pic>
      <xdr:nvPicPr>
        <xdr:cNvPr id="341" name="/xl/media/image334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240</xdr:row>
      <xdr:rowOff>19050</xdr:rowOff>
    </xdr:from>
    <xdr:ext cx="647700" cy="647700"/>
    <xdr:pic>
      <xdr:nvPicPr>
        <xdr:cNvPr id="342" name="/xl/media/image335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241</xdr:row>
      <xdr:rowOff>9525</xdr:rowOff>
    </xdr:from>
    <xdr:ext cx="571500" cy="571500"/>
    <xdr:pic>
      <xdr:nvPicPr>
        <xdr:cNvPr id="343" name="/xl/media/image27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241</xdr:row>
      <xdr:rowOff>9525</xdr:rowOff>
    </xdr:from>
    <xdr:ext cx="571500" cy="571500"/>
    <xdr:pic>
      <xdr:nvPicPr>
        <xdr:cNvPr id="344" name="/xl/media/image275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241</xdr:row>
      <xdr:rowOff>9525</xdr:rowOff>
    </xdr:from>
    <xdr:ext cx="571500" cy="571500"/>
    <xdr:pic>
      <xdr:nvPicPr>
        <xdr:cNvPr id="345" name="/xl/media/image272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243</xdr:row>
      <xdr:rowOff>9525</xdr:rowOff>
    </xdr:from>
    <xdr:ext cx="571500" cy="571500"/>
    <xdr:pic>
      <xdr:nvPicPr>
        <xdr:cNvPr id="346" name="/xl/media/image274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240</xdr:row>
      <xdr:rowOff>19050</xdr:rowOff>
    </xdr:from>
    <xdr:ext cx="647700" cy="647700"/>
    <xdr:pic>
      <xdr:nvPicPr>
        <xdr:cNvPr id="347" name="/xl/media/image335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241</xdr:row>
      <xdr:rowOff>9525</xdr:rowOff>
    </xdr:from>
    <xdr:ext cx="571500" cy="571500"/>
    <xdr:pic>
      <xdr:nvPicPr>
        <xdr:cNvPr id="348" name="/xl/media/image291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241</xdr:row>
      <xdr:rowOff>9525</xdr:rowOff>
    </xdr:from>
    <xdr:ext cx="571500" cy="571500"/>
    <xdr:pic>
      <xdr:nvPicPr>
        <xdr:cNvPr id="349" name="/xl/media/image29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241</xdr:row>
      <xdr:rowOff>9525</xdr:rowOff>
    </xdr:from>
    <xdr:ext cx="571500" cy="571500"/>
    <xdr:pic>
      <xdr:nvPicPr>
        <xdr:cNvPr id="350" name="/xl/media/image292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243</xdr:row>
      <xdr:rowOff>9525</xdr:rowOff>
    </xdr:from>
    <xdr:ext cx="571500" cy="571500"/>
    <xdr:pic>
      <xdr:nvPicPr>
        <xdr:cNvPr id="351" name="/xl/media/image290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246</xdr:row>
      <xdr:rowOff>428625</xdr:rowOff>
    </xdr:from>
    <xdr:ext cx="1438275" cy="1438275"/>
    <xdr:pic>
      <xdr:nvPicPr>
        <xdr:cNvPr id="352" name="/xl/media/image336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247</xdr:row>
      <xdr:rowOff>19050</xdr:rowOff>
    </xdr:from>
    <xdr:ext cx="647700" cy="647700"/>
    <xdr:pic>
      <xdr:nvPicPr>
        <xdr:cNvPr id="353" name="/xl/media/image337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248</xdr:row>
      <xdr:rowOff>9525</xdr:rowOff>
    </xdr:from>
    <xdr:ext cx="571500" cy="571500"/>
    <xdr:pic>
      <xdr:nvPicPr>
        <xdr:cNvPr id="354" name="/xl/media/image27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248</xdr:row>
      <xdr:rowOff>9525</xdr:rowOff>
    </xdr:from>
    <xdr:ext cx="571500" cy="571500"/>
    <xdr:pic>
      <xdr:nvPicPr>
        <xdr:cNvPr id="355" name="/xl/media/image275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248</xdr:row>
      <xdr:rowOff>9525</xdr:rowOff>
    </xdr:from>
    <xdr:ext cx="571500" cy="571500"/>
    <xdr:pic>
      <xdr:nvPicPr>
        <xdr:cNvPr id="356" name="/xl/media/image272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250</xdr:row>
      <xdr:rowOff>9525</xdr:rowOff>
    </xdr:from>
    <xdr:ext cx="571500" cy="571500"/>
    <xdr:pic>
      <xdr:nvPicPr>
        <xdr:cNvPr id="357" name="/xl/media/image274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247</xdr:row>
      <xdr:rowOff>19050</xdr:rowOff>
    </xdr:from>
    <xdr:ext cx="647700" cy="647700"/>
    <xdr:pic>
      <xdr:nvPicPr>
        <xdr:cNvPr id="358" name="/xl/media/image337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248</xdr:row>
      <xdr:rowOff>9525</xdr:rowOff>
    </xdr:from>
    <xdr:ext cx="571500" cy="571500"/>
    <xdr:pic>
      <xdr:nvPicPr>
        <xdr:cNvPr id="359" name="/xl/media/image291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248</xdr:row>
      <xdr:rowOff>9525</xdr:rowOff>
    </xdr:from>
    <xdr:ext cx="571500" cy="571500"/>
    <xdr:pic>
      <xdr:nvPicPr>
        <xdr:cNvPr id="360" name="/xl/media/image29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248</xdr:row>
      <xdr:rowOff>9525</xdr:rowOff>
    </xdr:from>
    <xdr:ext cx="571500" cy="571500"/>
    <xdr:pic>
      <xdr:nvPicPr>
        <xdr:cNvPr id="361" name="/xl/media/image292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250</xdr:row>
      <xdr:rowOff>9525</xdr:rowOff>
    </xdr:from>
    <xdr:ext cx="571500" cy="571500"/>
    <xdr:pic>
      <xdr:nvPicPr>
        <xdr:cNvPr id="362" name="/xl/media/image290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253</xdr:row>
      <xdr:rowOff>428625</xdr:rowOff>
    </xdr:from>
    <xdr:ext cx="1438275" cy="1438275"/>
    <xdr:pic>
      <xdr:nvPicPr>
        <xdr:cNvPr id="363" name="/xl/media/image304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254</xdr:row>
      <xdr:rowOff>19050</xdr:rowOff>
    </xdr:from>
    <xdr:ext cx="647700" cy="647700"/>
    <xdr:pic>
      <xdr:nvPicPr>
        <xdr:cNvPr id="364" name="/xl/media/image338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255</xdr:row>
      <xdr:rowOff>9525</xdr:rowOff>
    </xdr:from>
    <xdr:ext cx="571500" cy="571500"/>
    <xdr:pic>
      <xdr:nvPicPr>
        <xdr:cNvPr id="365" name="/xl/media/image339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255</xdr:row>
      <xdr:rowOff>9525</xdr:rowOff>
    </xdr:from>
    <xdr:ext cx="571500" cy="571500"/>
    <xdr:pic>
      <xdr:nvPicPr>
        <xdr:cNvPr id="366" name="/xl/media/image340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255</xdr:row>
      <xdr:rowOff>9525</xdr:rowOff>
    </xdr:from>
    <xdr:ext cx="571500" cy="571500"/>
    <xdr:pic>
      <xdr:nvPicPr>
        <xdr:cNvPr id="367" name="/xl/media/image341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257</xdr:row>
      <xdr:rowOff>9525</xdr:rowOff>
    </xdr:from>
    <xdr:ext cx="571500" cy="571500"/>
    <xdr:pic>
      <xdr:nvPicPr>
        <xdr:cNvPr id="368" name="/xl/media/image342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260</xdr:row>
      <xdr:rowOff>428625</xdr:rowOff>
    </xdr:from>
    <xdr:ext cx="1438275" cy="1438275"/>
    <xdr:pic>
      <xdr:nvPicPr>
        <xdr:cNvPr id="369" name="/xl/media/image306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261</xdr:row>
      <xdr:rowOff>19050</xdr:rowOff>
    </xdr:from>
    <xdr:ext cx="647700" cy="647700"/>
    <xdr:pic>
      <xdr:nvPicPr>
        <xdr:cNvPr id="370" name="/xl/media/image338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262</xdr:row>
      <xdr:rowOff>9525</xdr:rowOff>
    </xdr:from>
    <xdr:ext cx="571500" cy="571500"/>
    <xdr:pic>
      <xdr:nvPicPr>
        <xdr:cNvPr id="371" name="/xl/media/image339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262</xdr:row>
      <xdr:rowOff>9525</xdr:rowOff>
    </xdr:from>
    <xdr:ext cx="571500" cy="571500"/>
    <xdr:pic>
      <xdr:nvPicPr>
        <xdr:cNvPr id="372" name="/xl/media/image340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262</xdr:row>
      <xdr:rowOff>9525</xdr:rowOff>
    </xdr:from>
    <xdr:ext cx="571500" cy="571500"/>
    <xdr:pic>
      <xdr:nvPicPr>
        <xdr:cNvPr id="373" name="/xl/media/image341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264</xdr:row>
      <xdr:rowOff>9525</xdr:rowOff>
    </xdr:from>
    <xdr:ext cx="571500" cy="571500"/>
    <xdr:pic>
      <xdr:nvPicPr>
        <xdr:cNvPr id="374" name="/xl/media/image342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267</xdr:row>
      <xdr:rowOff>428625</xdr:rowOff>
    </xdr:from>
    <xdr:ext cx="1438275" cy="1438275"/>
    <xdr:pic>
      <xdr:nvPicPr>
        <xdr:cNvPr id="375" name="/xl/media/image34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268</xdr:row>
      <xdr:rowOff>19050</xdr:rowOff>
    </xdr:from>
    <xdr:ext cx="647700" cy="647700"/>
    <xdr:pic>
      <xdr:nvPicPr>
        <xdr:cNvPr id="376" name="/xl/media/image344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269</xdr:row>
      <xdr:rowOff>9525</xdr:rowOff>
    </xdr:from>
    <xdr:ext cx="571500" cy="571500"/>
    <xdr:pic>
      <xdr:nvPicPr>
        <xdr:cNvPr id="377" name="/xl/media/image27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269</xdr:row>
      <xdr:rowOff>9525</xdr:rowOff>
    </xdr:from>
    <xdr:ext cx="571500" cy="571500"/>
    <xdr:pic>
      <xdr:nvPicPr>
        <xdr:cNvPr id="378" name="/xl/media/image275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269</xdr:row>
      <xdr:rowOff>9525</xdr:rowOff>
    </xdr:from>
    <xdr:ext cx="571500" cy="571500"/>
    <xdr:pic>
      <xdr:nvPicPr>
        <xdr:cNvPr id="379" name="/xl/media/image272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271</xdr:row>
      <xdr:rowOff>9525</xdr:rowOff>
    </xdr:from>
    <xdr:ext cx="571500" cy="571500"/>
    <xdr:pic>
      <xdr:nvPicPr>
        <xdr:cNvPr id="380" name="/xl/media/image274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268</xdr:row>
      <xdr:rowOff>19050</xdr:rowOff>
    </xdr:from>
    <xdr:ext cx="647700" cy="647700"/>
    <xdr:pic>
      <xdr:nvPicPr>
        <xdr:cNvPr id="381" name="/xl/media/image344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269</xdr:row>
      <xdr:rowOff>9525</xdr:rowOff>
    </xdr:from>
    <xdr:ext cx="571500" cy="571500"/>
    <xdr:pic>
      <xdr:nvPicPr>
        <xdr:cNvPr id="382" name="/xl/media/image291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269</xdr:row>
      <xdr:rowOff>9525</xdr:rowOff>
    </xdr:from>
    <xdr:ext cx="571500" cy="571500"/>
    <xdr:pic>
      <xdr:nvPicPr>
        <xdr:cNvPr id="383" name="/xl/media/image29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269</xdr:row>
      <xdr:rowOff>9525</xdr:rowOff>
    </xdr:from>
    <xdr:ext cx="571500" cy="571500"/>
    <xdr:pic>
      <xdr:nvPicPr>
        <xdr:cNvPr id="384" name="/xl/media/image292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271</xdr:row>
      <xdr:rowOff>9525</xdr:rowOff>
    </xdr:from>
    <xdr:ext cx="571500" cy="571500"/>
    <xdr:pic>
      <xdr:nvPicPr>
        <xdr:cNvPr id="385" name="/xl/media/image290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274</xdr:row>
      <xdr:rowOff>428625</xdr:rowOff>
    </xdr:from>
    <xdr:ext cx="1438275" cy="1438275"/>
    <xdr:pic>
      <xdr:nvPicPr>
        <xdr:cNvPr id="386" name="/xl/media/image345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275</xdr:row>
      <xdr:rowOff>19050</xdr:rowOff>
    </xdr:from>
    <xdr:ext cx="647700" cy="647700"/>
    <xdr:pic>
      <xdr:nvPicPr>
        <xdr:cNvPr id="387" name="/xl/media/image346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276</xdr:row>
      <xdr:rowOff>9525</xdr:rowOff>
    </xdr:from>
    <xdr:ext cx="571500" cy="571500"/>
    <xdr:pic>
      <xdr:nvPicPr>
        <xdr:cNvPr id="388" name="/xl/media/image27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276</xdr:row>
      <xdr:rowOff>9525</xdr:rowOff>
    </xdr:from>
    <xdr:ext cx="571500" cy="571500"/>
    <xdr:pic>
      <xdr:nvPicPr>
        <xdr:cNvPr id="389" name="/xl/media/image275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276</xdr:row>
      <xdr:rowOff>9525</xdr:rowOff>
    </xdr:from>
    <xdr:ext cx="571500" cy="571500"/>
    <xdr:pic>
      <xdr:nvPicPr>
        <xdr:cNvPr id="390" name="/xl/media/image272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278</xdr:row>
      <xdr:rowOff>9525</xdr:rowOff>
    </xdr:from>
    <xdr:ext cx="571500" cy="571500"/>
    <xdr:pic>
      <xdr:nvPicPr>
        <xdr:cNvPr id="391" name="/xl/media/image274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275</xdr:row>
      <xdr:rowOff>19050</xdr:rowOff>
    </xdr:from>
    <xdr:ext cx="647700" cy="647700"/>
    <xdr:pic>
      <xdr:nvPicPr>
        <xdr:cNvPr id="392" name="/xl/media/image346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276</xdr:row>
      <xdr:rowOff>9525</xdr:rowOff>
    </xdr:from>
    <xdr:ext cx="571500" cy="571500"/>
    <xdr:pic>
      <xdr:nvPicPr>
        <xdr:cNvPr id="393" name="/xl/media/image291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276</xdr:row>
      <xdr:rowOff>9525</xdr:rowOff>
    </xdr:from>
    <xdr:ext cx="571500" cy="571500"/>
    <xdr:pic>
      <xdr:nvPicPr>
        <xdr:cNvPr id="394" name="/xl/media/image29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276</xdr:row>
      <xdr:rowOff>9525</xdr:rowOff>
    </xdr:from>
    <xdr:ext cx="571500" cy="571500"/>
    <xdr:pic>
      <xdr:nvPicPr>
        <xdr:cNvPr id="395" name="/xl/media/image292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278</xdr:row>
      <xdr:rowOff>9525</xdr:rowOff>
    </xdr:from>
    <xdr:ext cx="571500" cy="571500"/>
    <xdr:pic>
      <xdr:nvPicPr>
        <xdr:cNvPr id="396" name="/xl/media/image290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281</xdr:row>
      <xdr:rowOff>428625</xdr:rowOff>
    </xdr:from>
    <xdr:ext cx="1438275" cy="1438275"/>
    <xdr:pic>
      <xdr:nvPicPr>
        <xdr:cNvPr id="397" name="/xl/media/image347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282</xdr:row>
      <xdr:rowOff>19050</xdr:rowOff>
    </xdr:from>
    <xdr:ext cx="647700" cy="647700"/>
    <xdr:pic>
      <xdr:nvPicPr>
        <xdr:cNvPr id="398" name="/xl/media/image348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283</xdr:row>
      <xdr:rowOff>9525</xdr:rowOff>
    </xdr:from>
    <xdr:ext cx="571500" cy="571500"/>
    <xdr:pic>
      <xdr:nvPicPr>
        <xdr:cNvPr id="399" name="/xl/media/image27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283</xdr:row>
      <xdr:rowOff>9525</xdr:rowOff>
    </xdr:from>
    <xdr:ext cx="571500" cy="571500"/>
    <xdr:pic>
      <xdr:nvPicPr>
        <xdr:cNvPr id="400" name="/xl/media/image275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283</xdr:row>
      <xdr:rowOff>9525</xdr:rowOff>
    </xdr:from>
    <xdr:ext cx="571500" cy="571500"/>
    <xdr:pic>
      <xdr:nvPicPr>
        <xdr:cNvPr id="401" name="/xl/media/image272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285</xdr:row>
      <xdr:rowOff>9525</xdr:rowOff>
    </xdr:from>
    <xdr:ext cx="571500" cy="571500"/>
    <xdr:pic>
      <xdr:nvPicPr>
        <xdr:cNvPr id="402" name="/xl/media/image274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282</xdr:row>
      <xdr:rowOff>19050</xdr:rowOff>
    </xdr:from>
    <xdr:ext cx="647700" cy="647700"/>
    <xdr:pic>
      <xdr:nvPicPr>
        <xdr:cNvPr id="403" name="/xl/media/image348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283</xdr:row>
      <xdr:rowOff>9525</xdr:rowOff>
    </xdr:from>
    <xdr:ext cx="571500" cy="571500"/>
    <xdr:pic>
      <xdr:nvPicPr>
        <xdr:cNvPr id="404" name="/xl/media/image291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283</xdr:row>
      <xdr:rowOff>9525</xdr:rowOff>
    </xdr:from>
    <xdr:ext cx="571500" cy="571500"/>
    <xdr:pic>
      <xdr:nvPicPr>
        <xdr:cNvPr id="405" name="/xl/media/image29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283</xdr:row>
      <xdr:rowOff>9525</xdr:rowOff>
    </xdr:from>
    <xdr:ext cx="571500" cy="571500"/>
    <xdr:pic>
      <xdr:nvPicPr>
        <xdr:cNvPr id="406" name="/xl/media/image292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285</xdr:row>
      <xdr:rowOff>9525</xdr:rowOff>
    </xdr:from>
    <xdr:ext cx="571500" cy="571500"/>
    <xdr:pic>
      <xdr:nvPicPr>
        <xdr:cNvPr id="407" name="/xl/media/image290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288</xdr:row>
      <xdr:rowOff>428625</xdr:rowOff>
    </xdr:from>
    <xdr:ext cx="1438275" cy="1438275"/>
    <xdr:pic>
      <xdr:nvPicPr>
        <xdr:cNvPr id="408" name="/xl/media/image349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289</xdr:row>
      <xdr:rowOff>19050</xdr:rowOff>
    </xdr:from>
    <xdr:ext cx="647700" cy="647700"/>
    <xdr:pic>
      <xdr:nvPicPr>
        <xdr:cNvPr id="409" name="/xl/media/image350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290</xdr:row>
      <xdr:rowOff>9525</xdr:rowOff>
    </xdr:from>
    <xdr:ext cx="571500" cy="571500"/>
    <xdr:pic>
      <xdr:nvPicPr>
        <xdr:cNvPr id="410" name="/xl/media/image27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290</xdr:row>
      <xdr:rowOff>9525</xdr:rowOff>
    </xdr:from>
    <xdr:ext cx="571500" cy="571500"/>
    <xdr:pic>
      <xdr:nvPicPr>
        <xdr:cNvPr id="411" name="/xl/media/image275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290</xdr:row>
      <xdr:rowOff>9525</xdr:rowOff>
    </xdr:from>
    <xdr:ext cx="571500" cy="571500"/>
    <xdr:pic>
      <xdr:nvPicPr>
        <xdr:cNvPr id="412" name="/xl/media/image272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292</xdr:row>
      <xdr:rowOff>9525</xdr:rowOff>
    </xdr:from>
    <xdr:ext cx="571500" cy="571500"/>
    <xdr:pic>
      <xdr:nvPicPr>
        <xdr:cNvPr id="413" name="/xl/media/image274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289</xdr:row>
      <xdr:rowOff>19050</xdr:rowOff>
    </xdr:from>
    <xdr:ext cx="647700" cy="647700"/>
    <xdr:pic>
      <xdr:nvPicPr>
        <xdr:cNvPr id="414" name="/xl/media/image350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290</xdr:row>
      <xdr:rowOff>9525</xdr:rowOff>
    </xdr:from>
    <xdr:ext cx="571500" cy="571500"/>
    <xdr:pic>
      <xdr:nvPicPr>
        <xdr:cNvPr id="415" name="/xl/media/image291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290</xdr:row>
      <xdr:rowOff>9525</xdr:rowOff>
    </xdr:from>
    <xdr:ext cx="571500" cy="571500"/>
    <xdr:pic>
      <xdr:nvPicPr>
        <xdr:cNvPr id="416" name="/xl/media/image29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290</xdr:row>
      <xdr:rowOff>9525</xdr:rowOff>
    </xdr:from>
    <xdr:ext cx="571500" cy="571500"/>
    <xdr:pic>
      <xdr:nvPicPr>
        <xdr:cNvPr id="417" name="/xl/media/image292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292</xdr:row>
      <xdr:rowOff>9525</xdr:rowOff>
    </xdr:from>
    <xdr:ext cx="571500" cy="571500"/>
    <xdr:pic>
      <xdr:nvPicPr>
        <xdr:cNvPr id="418" name="/xl/media/image290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295</xdr:row>
      <xdr:rowOff>428625</xdr:rowOff>
    </xdr:from>
    <xdr:ext cx="1438275" cy="1438275"/>
    <xdr:pic>
      <xdr:nvPicPr>
        <xdr:cNvPr id="419" name="/xl/media/image299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296</xdr:row>
      <xdr:rowOff>19050</xdr:rowOff>
    </xdr:from>
    <xdr:ext cx="647700" cy="647700"/>
    <xdr:pic>
      <xdr:nvPicPr>
        <xdr:cNvPr id="420" name="/xl/media/image351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297</xdr:row>
      <xdr:rowOff>9525</xdr:rowOff>
    </xdr:from>
    <xdr:ext cx="571500" cy="571500"/>
    <xdr:pic>
      <xdr:nvPicPr>
        <xdr:cNvPr id="421" name="/xl/media/image339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297</xdr:row>
      <xdr:rowOff>9525</xdr:rowOff>
    </xdr:from>
    <xdr:ext cx="571500" cy="571500"/>
    <xdr:pic>
      <xdr:nvPicPr>
        <xdr:cNvPr id="422" name="/xl/media/image340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297</xdr:row>
      <xdr:rowOff>9525</xdr:rowOff>
    </xdr:from>
    <xdr:ext cx="571500" cy="571500"/>
    <xdr:pic>
      <xdr:nvPicPr>
        <xdr:cNvPr id="423" name="/xl/media/image341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299</xdr:row>
      <xdr:rowOff>9525</xdr:rowOff>
    </xdr:from>
    <xdr:ext cx="571500" cy="571500"/>
    <xdr:pic>
      <xdr:nvPicPr>
        <xdr:cNvPr id="424" name="/xl/media/image342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302</xdr:row>
      <xdr:rowOff>428625</xdr:rowOff>
    </xdr:from>
    <xdr:ext cx="1438275" cy="1438275"/>
    <xdr:pic>
      <xdr:nvPicPr>
        <xdr:cNvPr id="425" name="/xl/media/image301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303</xdr:row>
      <xdr:rowOff>19050</xdr:rowOff>
    </xdr:from>
    <xdr:ext cx="647700" cy="647700"/>
    <xdr:pic>
      <xdr:nvPicPr>
        <xdr:cNvPr id="426" name="/xl/media/image352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304</xdr:row>
      <xdr:rowOff>9525</xdr:rowOff>
    </xdr:from>
    <xdr:ext cx="571500" cy="571500"/>
    <xdr:pic>
      <xdr:nvPicPr>
        <xdr:cNvPr id="427" name="/xl/media/image339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304</xdr:row>
      <xdr:rowOff>9525</xdr:rowOff>
    </xdr:from>
    <xdr:ext cx="571500" cy="571500"/>
    <xdr:pic>
      <xdr:nvPicPr>
        <xdr:cNvPr id="428" name="/xl/media/image340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304</xdr:row>
      <xdr:rowOff>9525</xdr:rowOff>
    </xdr:from>
    <xdr:ext cx="571500" cy="571500"/>
    <xdr:pic>
      <xdr:nvPicPr>
        <xdr:cNvPr id="429" name="/xl/media/image341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306</xdr:row>
      <xdr:rowOff>9525</xdr:rowOff>
    </xdr:from>
    <xdr:ext cx="571500" cy="571500"/>
    <xdr:pic>
      <xdr:nvPicPr>
        <xdr:cNvPr id="430" name="/xl/media/image342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309</xdr:row>
      <xdr:rowOff>428625</xdr:rowOff>
    </xdr:from>
    <xdr:ext cx="1438275" cy="1438275"/>
    <xdr:pic>
      <xdr:nvPicPr>
        <xdr:cNvPr id="431" name="/xl/media/image308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310</xdr:row>
      <xdr:rowOff>19050</xdr:rowOff>
    </xdr:from>
    <xdr:ext cx="647700" cy="647700"/>
    <xdr:pic>
      <xdr:nvPicPr>
        <xdr:cNvPr id="432" name="/xl/media/image352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311</xdr:row>
      <xdr:rowOff>9525</xdr:rowOff>
    </xdr:from>
    <xdr:ext cx="571500" cy="571500"/>
    <xdr:pic>
      <xdr:nvPicPr>
        <xdr:cNvPr id="433" name="/xl/media/image339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311</xdr:row>
      <xdr:rowOff>9525</xdr:rowOff>
    </xdr:from>
    <xdr:ext cx="571500" cy="571500"/>
    <xdr:pic>
      <xdr:nvPicPr>
        <xdr:cNvPr id="434" name="/xl/media/image340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311</xdr:row>
      <xdr:rowOff>9525</xdr:rowOff>
    </xdr:from>
    <xdr:ext cx="571500" cy="571500"/>
    <xdr:pic>
      <xdr:nvPicPr>
        <xdr:cNvPr id="435" name="/xl/media/image341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313</xdr:row>
      <xdr:rowOff>9525</xdr:rowOff>
    </xdr:from>
    <xdr:ext cx="571500" cy="571500"/>
    <xdr:pic>
      <xdr:nvPicPr>
        <xdr:cNvPr id="436" name="/xl/media/image342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316</xdr:row>
      <xdr:rowOff>428625</xdr:rowOff>
    </xdr:from>
    <xdr:ext cx="1438275" cy="1438275"/>
    <xdr:pic>
      <xdr:nvPicPr>
        <xdr:cNvPr id="437" name="/xl/media/image28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317</xdr:row>
      <xdr:rowOff>19050</xdr:rowOff>
    </xdr:from>
    <xdr:ext cx="647700" cy="647700"/>
    <xdr:pic>
      <xdr:nvPicPr>
        <xdr:cNvPr id="438" name="/xl/media/image35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318</xdr:row>
      <xdr:rowOff>9525</xdr:rowOff>
    </xdr:from>
    <xdr:ext cx="571500" cy="571500"/>
    <xdr:pic>
      <xdr:nvPicPr>
        <xdr:cNvPr id="439" name="/xl/media/image339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318</xdr:row>
      <xdr:rowOff>9525</xdr:rowOff>
    </xdr:from>
    <xdr:ext cx="571500" cy="571500"/>
    <xdr:pic>
      <xdr:nvPicPr>
        <xdr:cNvPr id="440" name="/xl/media/image340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318</xdr:row>
      <xdr:rowOff>9525</xdr:rowOff>
    </xdr:from>
    <xdr:ext cx="571500" cy="571500"/>
    <xdr:pic>
      <xdr:nvPicPr>
        <xdr:cNvPr id="441" name="/xl/media/image341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320</xdr:row>
      <xdr:rowOff>9525</xdr:rowOff>
    </xdr:from>
    <xdr:ext cx="571500" cy="571500"/>
    <xdr:pic>
      <xdr:nvPicPr>
        <xdr:cNvPr id="442" name="/xl/media/image342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323</xdr:row>
      <xdr:rowOff>428625</xdr:rowOff>
    </xdr:from>
    <xdr:ext cx="1438275" cy="1438275"/>
    <xdr:pic>
      <xdr:nvPicPr>
        <xdr:cNvPr id="443" name="/xl/media/image302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324</xdr:row>
      <xdr:rowOff>19050</xdr:rowOff>
    </xdr:from>
    <xdr:ext cx="647700" cy="647700"/>
    <xdr:pic>
      <xdr:nvPicPr>
        <xdr:cNvPr id="444" name="/xl/media/image352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325</xdr:row>
      <xdr:rowOff>9525</xdr:rowOff>
    </xdr:from>
    <xdr:ext cx="571500" cy="571500"/>
    <xdr:pic>
      <xdr:nvPicPr>
        <xdr:cNvPr id="445" name="/xl/media/image339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325</xdr:row>
      <xdr:rowOff>9525</xdr:rowOff>
    </xdr:from>
    <xdr:ext cx="571500" cy="571500"/>
    <xdr:pic>
      <xdr:nvPicPr>
        <xdr:cNvPr id="446" name="/xl/media/image340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325</xdr:row>
      <xdr:rowOff>9525</xdr:rowOff>
    </xdr:from>
    <xdr:ext cx="571500" cy="571500"/>
    <xdr:pic>
      <xdr:nvPicPr>
        <xdr:cNvPr id="447" name="/xl/media/image341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327</xdr:row>
      <xdr:rowOff>9525</xdr:rowOff>
    </xdr:from>
    <xdr:ext cx="571500" cy="571500"/>
    <xdr:pic>
      <xdr:nvPicPr>
        <xdr:cNvPr id="448" name="/xl/media/image342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330</xdr:row>
      <xdr:rowOff>428625</xdr:rowOff>
    </xdr:from>
    <xdr:ext cx="1438275" cy="1438275"/>
    <xdr:pic>
      <xdr:nvPicPr>
        <xdr:cNvPr id="449" name="/xl/media/image354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332</xdr:row>
      <xdr:rowOff>9525</xdr:rowOff>
    </xdr:from>
    <xdr:ext cx="571500" cy="571500"/>
    <xdr:pic>
      <xdr:nvPicPr>
        <xdr:cNvPr id="450" name="/xl/media/image339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332</xdr:row>
      <xdr:rowOff>9525</xdr:rowOff>
    </xdr:from>
    <xdr:ext cx="571500" cy="571500"/>
    <xdr:pic>
      <xdr:nvPicPr>
        <xdr:cNvPr id="451" name="/xl/media/image340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332</xdr:row>
      <xdr:rowOff>9525</xdr:rowOff>
    </xdr:from>
    <xdr:ext cx="571500" cy="571500"/>
    <xdr:pic>
      <xdr:nvPicPr>
        <xdr:cNvPr id="452" name="/xl/media/image341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334</xdr:row>
      <xdr:rowOff>9525</xdr:rowOff>
    </xdr:from>
    <xdr:ext cx="571500" cy="571500"/>
    <xdr:pic>
      <xdr:nvPicPr>
        <xdr:cNvPr id="453" name="/xl/media/image342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337</xdr:row>
      <xdr:rowOff>428625</xdr:rowOff>
    </xdr:from>
    <xdr:ext cx="1438275" cy="1438275"/>
    <xdr:pic>
      <xdr:nvPicPr>
        <xdr:cNvPr id="454" name="/xl/media/image310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339</xdr:row>
      <xdr:rowOff>9525</xdr:rowOff>
    </xdr:from>
    <xdr:ext cx="571500" cy="571500"/>
    <xdr:pic>
      <xdr:nvPicPr>
        <xdr:cNvPr id="455" name="/xl/media/image339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339</xdr:row>
      <xdr:rowOff>9525</xdr:rowOff>
    </xdr:from>
    <xdr:ext cx="571500" cy="571500"/>
    <xdr:pic>
      <xdr:nvPicPr>
        <xdr:cNvPr id="456" name="/xl/media/image341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339</xdr:row>
      <xdr:rowOff>9525</xdr:rowOff>
    </xdr:from>
    <xdr:ext cx="571500" cy="571500"/>
    <xdr:pic>
      <xdr:nvPicPr>
        <xdr:cNvPr id="457" name="/xl/media/image342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344</xdr:row>
      <xdr:rowOff>428625</xdr:rowOff>
    </xdr:from>
    <xdr:ext cx="1438275" cy="1438275"/>
    <xdr:pic>
      <xdr:nvPicPr>
        <xdr:cNvPr id="458" name="/xl/media/image330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345</xdr:row>
      <xdr:rowOff>19050</xdr:rowOff>
    </xdr:from>
    <xdr:ext cx="647700" cy="647700"/>
    <xdr:pic>
      <xdr:nvPicPr>
        <xdr:cNvPr id="459" name="/xl/media/image355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346</xdr:row>
      <xdr:rowOff>9525</xdr:rowOff>
    </xdr:from>
    <xdr:ext cx="571500" cy="571500"/>
    <xdr:pic>
      <xdr:nvPicPr>
        <xdr:cNvPr id="460" name="/xl/media/image339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346</xdr:row>
      <xdr:rowOff>9525</xdr:rowOff>
    </xdr:from>
    <xdr:ext cx="571500" cy="571500"/>
    <xdr:pic>
      <xdr:nvPicPr>
        <xdr:cNvPr id="461" name="/xl/media/image340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346</xdr:row>
      <xdr:rowOff>9525</xdr:rowOff>
    </xdr:from>
    <xdr:ext cx="571500" cy="571500"/>
    <xdr:pic>
      <xdr:nvPicPr>
        <xdr:cNvPr id="462" name="/xl/media/image341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348</xdr:row>
      <xdr:rowOff>9525</xdr:rowOff>
    </xdr:from>
    <xdr:ext cx="571500" cy="571500"/>
    <xdr:pic>
      <xdr:nvPicPr>
        <xdr:cNvPr id="463" name="/xl/media/image342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351</xdr:row>
      <xdr:rowOff>428625</xdr:rowOff>
    </xdr:from>
    <xdr:ext cx="1438275" cy="1438275"/>
    <xdr:pic>
      <xdr:nvPicPr>
        <xdr:cNvPr id="464" name="/xl/media/image324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352</xdr:row>
      <xdr:rowOff>19050</xdr:rowOff>
    </xdr:from>
    <xdr:ext cx="647700" cy="647700"/>
    <xdr:pic>
      <xdr:nvPicPr>
        <xdr:cNvPr id="465" name="/xl/media/image356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353</xdr:row>
      <xdr:rowOff>9525</xdr:rowOff>
    </xdr:from>
    <xdr:ext cx="571500" cy="571500"/>
    <xdr:pic>
      <xdr:nvPicPr>
        <xdr:cNvPr id="466" name="/xl/media/image339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353</xdr:row>
      <xdr:rowOff>9525</xdr:rowOff>
    </xdr:from>
    <xdr:ext cx="571500" cy="571500"/>
    <xdr:pic>
      <xdr:nvPicPr>
        <xdr:cNvPr id="467" name="/xl/media/image340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353</xdr:row>
      <xdr:rowOff>9525</xdr:rowOff>
    </xdr:from>
    <xdr:ext cx="571500" cy="571500"/>
    <xdr:pic>
      <xdr:nvPicPr>
        <xdr:cNvPr id="468" name="/xl/media/image341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355</xdr:row>
      <xdr:rowOff>9525</xdr:rowOff>
    </xdr:from>
    <xdr:ext cx="571500" cy="571500"/>
    <xdr:pic>
      <xdr:nvPicPr>
        <xdr:cNvPr id="469" name="/xl/media/image342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358</xdr:row>
      <xdr:rowOff>428625</xdr:rowOff>
    </xdr:from>
    <xdr:ext cx="1438275" cy="1438275"/>
    <xdr:pic>
      <xdr:nvPicPr>
        <xdr:cNvPr id="470" name="/xl/media/image322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359</xdr:row>
      <xdr:rowOff>19050</xdr:rowOff>
    </xdr:from>
    <xdr:ext cx="647700" cy="647700"/>
    <xdr:pic>
      <xdr:nvPicPr>
        <xdr:cNvPr id="471" name="/xl/media/image357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360</xdr:row>
      <xdr:rowOff>9525</xdr:rowOff>
    </xdr:from>
    <xdr:ext cx="571500" cy="571500"/>
    <xdr:pic>
      <xdr:nvPicPr>
        <xdr:cNvPr id="472" name="/xl/media/image339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360</xdr:row>
      <xdr:rowOff>9525</xdr:rowOff>
    </xdr:from>
    <xdr:ext cx="571500" cy="571500"/>
    <xdr:pic>
      <xdr:nvPicPr>
        <xdr:cNvPr id="473" name="/xl/media/image340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360</xdr:row>
      <xdr:rowOff>9525</xdr:rowOff>
    </xdr:from>
    <xdr:ext cx="571500" cy="571500"/>
    <xdr:pic>
      <xdr:nvPicPr>
        <xdr:cNvPr id="474" name="/xl/media/image341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362</xdr:row>
      <xdr:rowOff>9525</xdr:rowOff>
    </xdr:from>
    <xdr:ext cx="571500" cy="571500"/>
    <xdr:pic>
      <xdr:nvPicPr>
        <xdr:cNvPr id="475" name="/xl/media/image342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365</xdr:row>
      <xdr:rowOff>428625</xdr:rowOff>
    </xdr:from>
    <xdr:ext cx="1438275" cy="1438275"/>
    <xdr:pic>
      <xdr:nvPicPr>
        <xdr:cNvPr id="476" name="/xl/media/image326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366</xdr:row>
      <xdr:rowOff>19050</xdr:rowOff>
    </xdr:from>
    <xdr:ext cx="647700" cy="647700"/>
    <xdr:pic>
      <xdr:nvPicPr>
        <xdr:cNvPr id="477" name="/xl/media/image358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367</xdr:row>
      <xdr:rowOff>9525</xdr:rowOff>
    </xdr:from>
    <xdr:ext cx="571500" cy="571500"/>
    <xdr:pic>
      <xdr:nvPicPr>
        <xdr:cNvPr id="478" name="/xl/media/image339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367</xdr:row>
      <xdr:rowOff>9525</xdr:rowOff>
    </xdr:from>
    <xdr:ext cx="571500" cy="571500"/>
    <xdr:pic>
      <xdr:nvPicPr>
        <xdr:cNvPr id="479" name="/xl/media/image340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367</xdr:row>
      <xdr:rowOff>9525</xdr:rowOff>
    </xdr:from>
    <xdr:ext cx="571500" cy="571500"/>
    <xdr:pic>
      <xdr:nvPicPr>
        <xdr:cNvPr id="480" name="/xl/media/image341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369</xdr:row>
      <xdr:rowOff>9525</xdr:rowOff>
    </xdr:from>
    <xdr:ext cx="571500" cy="571500"/>
    <xdr:pic>
      <xdr:nvPicPr>
        <xdr:cNvPr id="481" name="/xl/media/image342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372</xdr:row>
      <xdr:rowOff>428625</xdr:rowOff>
    </xdr:from>
    <xdr:ext cx="1438275" cy="1438275"/>
    <xdr:pic>
      <xdr:nvPicPr>
        <xdr:cNvPr id="482" name="/xl/media/image335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373</xdr:row>
      <xdr:rowOff>19050</xdr:rowOff>
    </xdr:from>
    <xdr:ext cx="647700" cy="647700"/>
    <xdr:pic>
      <xdr:nvPicPr>
        <xdr:cNvPr id="483" name="/xl/media/image359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374</xdr:row>
      <xdr:rowOff>9525</xdr:rowOff>
    </xdr:from>
    <xdr:ext cx="571500" cy="571500"/>
    <xdr:pic>
      <xdr:nvPicPr>
        <xdr:cNvPr id="484" name="/xl/media/image339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374</xdr:row>
      <xdr:rowOff>9525</xdr:rowOff>
    </xdr:from>
    <xdr:ext cx="571500" cy="571500"/>
    <xdr:pic>
      <xdr:nvPicPr>
        <xdr:cNvPr id="485" name="/xl/media/image340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374</xdr:row>
      <xdr:rowOff>9525</xdr:rowOff>
    </xdr:from>
    <xdr:ext cx="571500" cy="571500"/>
    <xdr:pic>
      <xdr:nvPicPr>
        <xdr:cNvPr id="486" name="/xl/media/image341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376</xdr:row>
      <xdr:rowOff>9525</xdr:rowOff>
    </xdr:from>
    <xdr:ext cx="571500" cy="571500"/>
    <xdr:pic>
      <xdr:nvPicPr>
        <xdr:cNvPr id="487" name="/xl/media/image342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379</xdr:row>
      <xdr:rowOff>428625</xdr:rowOff>
    </xdr:from>
    <xdr:ext cx="1438275" cy="1438275"/>
    <xdr:pic>
      <xdr:nvPicPr>
        <xdr:cNvPr id="488" name="/xl/media/image337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380</xdr:row>
      <xdr:rowOff>19050</xdr:rowOff>
    </xdr:from>
    <xdr:ext cx="647700" cy="647700"/>
    <xdr:pic>
      <xdr:nvPicPr>
        <xdr:cNvPr id="489" name="/xl/media/image360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381</xdr:row>
      <xdr:rowOff>9525</xdr:rowOff>
    </xdr:from>
    <xdr:ext cx="571500" cy="571500"/>
    <xdr:pic>
      <xdr:nvPicPr>
        <xdr:cNvPr id="490" name="/xl/media/image339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381</xdr:row>
      <xdr:rowOff>9525</xdr:rowOff>
    </xdr:from>
    <xdr:ext cx="571500" cy="571500"/>
    <xdr:pic>
      <xdr:nvPicPr>
        <xdr:cNvPr id="491" name="/xl/media/image340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381</xdr:row>
      <xdr:rowOff>9525</xdr:rowOff>
    </xdr:from>
    <xdr:ext cx="571500" cy="571500"/>
    <xdr:pic>
      <xdr:nvPicPr>
        <xdr:cNvPr id="492" name="/xl/media/image341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383</xdr:row>
      <xdr:rowOff>9525</xdr:rowOff>
    </xdr:from>
    <xdr:ext cx="571500" cy="571500"/>
    <xdr:pic>
      <xdr:nvPicPr>
        <xdr:cNvPr id="493" name="/xl/media/image342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386</xdr:row>
      <xdr:rowOff>428625</xdr:rowOff>
    </xdr:from>
    <xdr:ext cx="1438275" cy="1438275"/>
    <xdr:pic>
      <xdr:nvPicPr>
        <xdr:cNvPr id="494" name="/xl/media/image328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387</xdr:row>
      <xdr:rowOff>19050</xdr:rowOff>
    </xdr:from>
    <xdr:ext cx="647700" cy="647700"/>
    <xdr:pic>
      <xdr:nvPicPr>
        <xdr:cNvPr id="495" name="/xl/media/image361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388</xdr:row>
      <xdr:rowOff>9525</xdr:rowOff>
    </xdr:from>
    <xdr:ext cx="571500" cy="571500"/>
    <xdr:pic>
      <xdr:nvPicPr>
        <xdr:cNvPr id="496" name="/xl/media/image339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388</xdr:row>
      <xdr:rowOff>9525</xdr:rowOff>
    </xdr:from>
    <xdr:ext cx="571500" cy="571500"/>
    <xdr:pic>
      <xdr:nvPicPr>
        <xdr:cNvPr id="497" name="/xl/media/image340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388</xdr:row>
      <xdr:rowOff>9525</xdr:rowOff>
    </xdr:from>
    <xdr:ext cx="571500" cy="571500"/>
    <xdr:pic>
      <xdr:nvPicPr>
        <xdr:cNvPr id="498" name="/xl/media/image341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390</xdr:row>
      <xdr:rowOff>9525</xdr:rowOff>
    </xdr:from>
    <xdr:ext cx="571500" cy="571500"/>
    <xdr:pic>
      <xdr:nvPicPr>
        <xdr:cNvPr id="499" name="/xl/media/image342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393</xdr:row>
      <xdr:rowOff>428625</xdr:rowOff>
    </xdr:from>
    <xdr:ext cx="1438275" cy="1438275"/>
    <xdr:pic>
      <xdr:nvPicPr>
        <xdr:cNvPr id="500" name="/xl/media/image294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394</xdr:row>
      <xdr:rowOff>19050</xdr:rowOff>
    </xdr:from>
    <xdr:ext cx="647700" cy="647700"/>
    <xdr:pic>
      <xdr:nvPicPr>
        <xdr:cNvPr id="501" name="/xl/media/image362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395</xdr:row>
      <xdr:rowOff>9525</xdr:rowOff>
    </xdr:from>
    <xdr:ext cx="571500" cy="571500"/>
    <xdr:pic>
      <xdr:nvPicPr>
        <xdr:cNvPr id="502" name="/xl/media/image339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395</xdr:row>
      <xdr:rowOff>9525</xdr:rowOff>
    </xdr:from>
    <xdr:ext cx="571500" cy="571500"/>
    <xdr:pic>
      <xdr:nvPicPr>
        <xdr:cNvPr id="503" name="/xl/media/image340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395</xdr:row>
      <xdr:rowOff>9525</xdr:rowOff>
    </xdr:from>
    <xdr:ext cx="571500" cy="571500"/>
    <xdr:pic>
      <xdr:nvPicPr>
        <xdr:cNvPr id="504" name="/xl/media/image341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397</xdr:row>
      <xdr:rowOff>9525</xdr:rowOff>
    </xdr:from>
    <xdr:ext cx="571500" cy="571500"/>
    <xdr:pic>
      <xdr:nvPicPr>
        <xdr:cNvPr id="505" name="/xl/media/image342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400</xdr:row>
      <xdr:rowOff>428625</xdr:rowOff>
    </xdr:from>
    <xdr:ext cx="1438275" cy="1438275"/>
    <xdr:pic>
      <xdr:nvPicPr>
        <xdr:cNvPr id="506" name="/xl/media/image320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401</xdr:row>
      <xdr:rowOff>19050</xdr:rowOff>
    </xdr:from>
    <xdr:ext cx="647700" cy="647700"/>
    <xdr:pic>
      <xdr:nvPicPr>
        <xdr:cNvPr id="507" name="/xl/media/image36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402</xdr:row>
      <xdr:rowOff>9525</xdr:rowOff>
    </xdr:from>
    <xdr:ext cx="571500" cy="571500"/>
    <xdr:pic>
      <xdr:nvPicPr>
        <xdr:cNvPr id="508" name="/xl/media/image339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402</xdr:row>
      <xdr:rowOff>9525</xdr:rowOff>
    </xdr:from>
    <xdr:ext cx="571500" cy="571500"/>
    <xdr:pic>
      <xdr:nvPicPr>
        <xdr:cNvPr id="509" name="/xl/media/image340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402</xdr:row>
      <xdr:rowOff>9525</xdr:rowOff>
    </xdr:from>
    <xdr:ext cx="571500" cy="571500"/>
    <xdr:pic>
      <xdr:nvPicPr>
        <xdr:cNvPr id="510" name="/xl/media/image341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404</xdr:row>
      <xdr:rowOff>9525</xdr:rowOff>
    </xdr:from>
    <xdr:ext cx="571500" cy="571500"/>
    <xdr:pic>
      <xdr:nvPicPr>
        <xdr:cNvPr id="511" name="/xl/media/image342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407</xdr:row>
      <xdr:rowOff>428625</xdr:rowOff>
    </xdr:from>
    <xdr:ext cx="1438275" cy="1438275"/>
    <xdr:pic>
      <xdr:nvPicPr>
        <xdr:cNvPr id="512" name="/xl/media/image332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408</xdr:row>
      <xdr:rowOff>19050</xdr:rowOff>
    </xdr:from>
    <xdr:ext cx="647700" cy="647700"/>
    <xdr:pic>
      <xdr:nvPicPr>
        <xdr:cNvPr id="513" name="/xl/media/image364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409</xdr:row>
      <xdr:rowOff>9525</xdr:rowOff>
    </xdr:from>
    <xdr:ext cx="571500" cy="571500"/>
    <xdr:pic>
      <xdr:nvPicPr>
        <xdr:cNvPr id="514" name="/xl/media/image339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409</xdr:row>
      <xdr:rowOff>9525</xdr:rowOff>
    </xdr:from>
    <xdr:ext cx="571500" cy="571500"/>
    <xdr:pic>
      <xdr:nvPicPr>
        <xdr:cNvPr id="515" name="/xl/media/image340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409</xdr:row>
      <xdr:rowOff>9525</xdr:rowOff>
    </xdr:from>
    <xdr:ext cx="571500" cy="571500"/>
    <xdr:pic>
      <xdr:nvPicPr>
        <xdr:cNvPr id="516" name="/xl/media/image341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411</xdr:row>
      <xdr:rowOff>9525</xdr:rowOff>
    </xdr:from>
    <xdr:ext cx="571500" cy="571500"/>
    <xdr:pic>
      <xdr:nvPicPr>
        <xdr:cNvPr id="517" name="/xl/media/image342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414</xdr:row>
      <xdr:rowOff>428625</xdr:rowOff>
    </xdr:from>
    <xdr:ext cx="1438275" cy="1438275"/>
    <xdr:pic>
      <xdr:nvPicPr>
        <xdr:cNvPr id="518" name="/xl/media/image318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415</xdr:row>
      <xdr:rowOff>19050</xdr:rowOff>
    </xdr:from>
    <xdr:ext cx="647700" cy="647700"/>
    <xdr:pic>
      <xdr:nvPicPr>
        <xdr:cNvPr id="519" name="/xl/media/image360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416</xdr:row>
      <xdr:rowOff>9525</xdr:rowOff>
    </xdr:from>
    <xdr:ext cx="571500" cy="571500"/>
    <xdr:pic>
      <xdr:nvPicPr>
        <xdr:cNvPr id="520" name="/xl/media/image339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416</xdr:row>
      <xdr:rowOff>9525</xdr:rowOff>
    </xdr:from>
    <xdr:ext cx="571500" cy="571500"/>
    <xdr:pic>
      <xdr:nvPicPr>
        <xdr:cNvPr id="521" name="/xl/media/image341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416</xdr:row>
      <xdr:rowOff>9525</xdr:rowOff>
    </xdr:from>
    <xdr:ext cx="571500" cy="571500"/>
    <xdr:pic>
      <xdr:nvPicPr>
        <xdr:cNvPr id="522" name="/xl/media/image342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421</xdr:row>
      <xdr:rowOff>428625</xdr:rowOff>
    </xdr:from>
    <xdr:ext cx="1438275" cy="1438275"/>
    <xdr:pic>
      <xdr:nvPicPr>
        <xdr:cNvPr id="523" name="/xl/media/image314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422</xdr:row>
      <xdr:rowOff>19050</xdr:rowOff>
    </xdr:from>
    <xdr:ext cx="647700" cy="647700"/>
    <xdr:pic>
      <xdr:nvPicPr>
        <xdr:cNvPr id="524" name="/xl/media/image357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423</xdr:row>
      <xdr:rowOff>9525</xdr:rowOff>
    </xdr:from>
    <xdr:ext cx="571500" cy="571500"/>
    <xdr:pic>
      <xdr:nvPicPr>
        <xdr:cNvPr id="525" name="/xl/media/image339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423</xdr:row>
      <xdr:rowOff>9525</xdr:rowOff>
    </xdr:from>
    <xdr:ext cx="571500" cy="571500"/>
    <xdr:pic>
      <xdr:nvPicPr>
        <xdr:cNvPr id="526" name="/xl/media/image341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423</xdr:row>
      <xdr:rowOff>9525</xdr:rowOff>
    </xdr:from>
    <xdr:ext cx="571500" cy="571500"/>
    <xdr:pic>
      <xdr:nvPicPr>
        <xdr:cNvPr id="527" name="/xl/media/image342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428</xdr:row>
      <xdr:rowOff>428625</xdr:rowOff>
    </xdr:from>
    <xdr:ext cx="1438275" cy="1438275"/>
    <xdr:pic>
      <xdr:nvPicPr>
        <xdr:cNvPr id="528" name="/xl/media/image312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429</xdr:row>
      <xdr:rowOff>19050</xdr:rowOff>
    </xdr:from>
    <xdr:ext cx="647700" cy="647700"/>
    <xdr:pic>
      <xdr:nvPicPr>
        <xdr:cNvPr id="529" name="/xl/media/image359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430</xdr:row>
      <xdr:rowOff>9525</xdr:rowOff>
    </xdr:from>
    <xdr:ext cx="571500" cy="571500"/>
    <xdr:pic>
      <xdr:nvPicPr>
        <xdr:cNvPr id="530" name="/xl/media/image339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430</xdr:row>
      <xdr:rowOff>9525</xdr:rowOff>
    </xdr:from>
    <xdr:ext cx="571500" cy="571500"/>
    <xdr:pic>
      <xdr:nvPicPr>
        <xdr:cNvPr id="531" name="/xl/media/image341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430</xdr:row>
      <xdr:rowOff>9525</xdr:rowOff>
    </xdr:from>
    <xdr:ext cx="571500" cy="571500"/>
    <xdr:pic>
      <xdr:nvPicPr>
        <xdr:cNvPr id="532" name="/xl/media/image342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435</xdr:row>
      <xdr:rowOff>428625</xdr:rowOff>
    </xdr:from>
    <xdr:ext cx="1438275" cy="1438275"/>
    <xdr:pic>
      <xdr:nvPicPr>
        <xdr:cNvPr id="533" name="/xl/media/image316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436</xdr:row>
      <xdr:rowOff>19050</xdr:rowOff>
    </xdr:from>
    <xdr:ext cx="647700" cy="647700"/>
    <xdr:pic>
      <xdr:nvPicPr>
        <xdr:cNvPr id="534" name="/xl/media/image36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437</xdr:row>
      <xdr:rowOff>9525</xdr:rowOff>
    </xdr:from>
    <xdr:ext cx="571500" cy="571500"/>
    <xdr:pic>
      <xdr:nvPicPr>
        <xdr:cNvPr id="535" name="/xl/media/image339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437</xdr:row>
      <xdr:rowOff>9525</xdr:rowOff>
    </xdr:from>
    <xdr:ext cx="571500" cy="571500"/>
    <xdr:pic>
      <xdr:nvPicPr>
        <xdr:cNvPr id="536" name="/xl/media/image341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437</xdr:row>
      <xdr:rowOff>9525</xdr:rowOff>
    </xdr:from>
    <xdr:ext cx="571500" cy="571500"/>
    <xdr:pic>
      <xdr:nvPicPr>
        <xdr:cNvPr id="537" name="/xl/media/image342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442</xdr:row>
      <xdr:rowOff>428625</xdr:rowOff>
    </xdr:from>
    <xdr:ext cx="1438275" cy="1438275"/>
    <xdr:pic>
      <xdr:nvPicPr>
        <xdr:cNvPr id="538" name="/xl/media/image350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443</xdr:row>
      <xdr:rowOff>19050</xdr:rowOff>
    </xdr:from>
    <xdr:ext cx="647700" cy="647700"/>
    <xdr:pic>
      <xdr:nvPicPr>
        <xdr:cNvPr id="539" name="/xl/media/image365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444</xdr:row>
      <xdr:rowOff>9525</xdr:rowOff>
    </xdr:from>
    <xdr:ext cx="571500" cy="571500"/>
    <xdr:pic>
      <xdr:nvPicPr>
        <xdr:cNvPr id="540" name="/xl/media/image339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444</xdr:row>
      <xdr:rowOff>9525</xdr:rowOff>
    </xdr:from>
    <xdr:ext cx="571500" cy="571500"/>
    <xdr:pic>
      <xdr:nvPicPr>
        <xdr:cNvPr id="541" name="/xl/media/image340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444</xdr:row>
      <xdr:rowOff>9525</xdr:rowOff>
    </xdr:from>
    <xdr:ext cx="571500" cy="571500"/>
    <xdr:pic>
      <xdr:nvPicPr>
        <xdr:cNvPr id="542" name="/xl/media/image341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446</xdr:row>
      <xdr:rowOff>9525</xdr:rowOff>
    </xdr:from>
    <xdr:ext cx="571500" cy="571500"/>
    <xdr:pic>
      <xdr:nvPicPr>
        <xdr:cNvPr id="543" name="/xl/media/image342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449</xdr:row>
      <xdr:rowOff>428625</xdr:rowOff>
    </xdr:from>
    <xdr:ext cx="1438275" cy="1438275"/>
    <xdr:pic>
      <xdr:nvPicPr>
        <xdr:cNvPr id="544" name="/xl/media/image346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450</xdr:row>
      <xdr:rowOff>19050</xdr:rowOff>
    </xdr:from>
    <xdr:ext cx="647700" cy="647700"/>
    <xdr:pic>
      <xdr:nvPicPr>
        <xdr:cNvPr id="545" name="/xl/media/image366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451</xdr:row>
      <xdr:rowOff>9525</xdr:rowOff>
    </xdr:from>
    <xdr:ext cx="571500" cy="571500"/>
    <xdr:pic>
      <xdr:nvPicPr>
        <xdr:cNvPr id="546" name="/xl/media/image339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451</xdr:row>
      <xdr:rowOff>9525</xdr:rowOff>
    </xdr:from>
    <xdr:ext cx="571500" cy="571500"/>
    <xdr:pic>
      <xdr:nvPicPr>
        <xdr:cNvPr id="547" name="/xl/media/image340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451</xdr:row>
      <xdr:rowOff>9525</xdr:rowOff>
    </xdr:from>
    <xdr:ext cx="571500" cy="571500"/>
    <xdr:pic>
      <xdr:nvPicPr>
        <xdr:cNvPr id="548" name="/xl/media/image341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453</xdr:row>
      <xdr:rowOff>9525</xdr:rowOff>
    </xdr:from>
    <xdr:ext cx="571500" cy="571500"/>
    <xdr:pic>
      <xdr:nvPicPr>
        <xdr:cNvPr id="549" name="/xl/media/image342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456</xdr:row>
      <xdr:rowOff>428625</xdr:rowOff>
    </xdr:from>
    <xdr:ext cx="1438275" cy="1438275"/>
    <xdr:pic>
      <xdr:nvPicPr>
        <xdr:cNvPr id="550" name="/xl/media/image348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457</xdr:row>
      <xdr:rowOff>19050</xdr:rowOff>
    </xdr:from>
    <xdr:ext cx="647700" cy="647700"/>
    <xdr:pic>
      <xdr:nvPicPr>
        <xdr:cNvPr id="551" name="/xl/media/image367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458</xdr:row>
      <xdr:rowOff>9525</xdr:rowOff>
    </xdr:from>
    <xdr:ext cx="571500" cy="571500"/>
    <xdr:pic>
      <xdr:nvPicPr>
        <xdr:cNvPr id="552" name="/xl/media/image339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458</xdr:row>
      <xdr:rowOff>9525</xdr:rowOff>
    </xdr:from>
    <xdr:ext cx="571500" cy="571500"/>
    <xdr:pic>
      <xdr:nvPicPr>
        <xdr:cNvPr id="553" name="/xl/media/image340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458</xdr:row>
      <xdr:rowOff>9525</xdr:rowOff>
    </xdr:from>
    <xdr:ext cx="571500" cy="571500"/>
    <xdr:pic>
      <xdr:nvPicPr>
        <xdr:cNvPr id="554" name="/xl/media/image341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460</xdr:row>
      <xdr:rowOff>9525</xdr:rowOff>
    </xdr:from>
    <xdr:ext cx="571500" cy="571500"/>
    <xdr:pic>
      <xdr:nvPicPr>
        <xdr:cNvPr id="555" name="/xl/media/image342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463</xdr:row>
      <xdr:rowOff>428625</xdr:rowOff>
    </xdr:from>
    <xdr:ext cx="1438275" cy="1438275"/>
    <xdr:pic>
      <xdr:nvPicPr>
        <xdr:cNvPr id="556" name="/xl/media/image344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464</xdr:row>
      <xdr:rowOff>19050</xdr:rowOff>
    </xdr:from>
    <xdr:ext cx="647700" cy="647700"/>
    <xdr:pic>
      <xdr:nvPicPr>
        <xdr:cNvPr id="557" name="/xl/media/image368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465</xdr:row>
      <xdr:rowOff>9525</xdr:rowOff>
    </xdr:from>
    <xdr:ext cx="571500" cy="571500"/>
    <xdr:pic>
      <xdr:nvPicPr>
        <xdr:cNvPr id="558" name="/xl/media/image339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465</xdr:row>
      <xdr:rowOff>9525</xdr:rowOff>
    </xdr:from>
    <xdr:ext cx="571500" cy="571500"/>
    <xdr:pic>
      <xdr:nvPicPr>
        <xdr:cNvPr id="559" name="/xl/media/image340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465</xdr:row>
      <xdr:rowOff>9525</xdr:rowOff>
    </xdr:from>
    <xdr:ext cx="571500" cy="571500"/>
    <xdr:pic>
      <xdr:nvPicPr>
        <xdr:cNvPr id="560" name="/xl/media/image341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467</xdr:row>
      <xdr:rowOff>9525</xdr:rowOff>
    </xdr:from>
    <xdr:ext cx="571500" cy="571500"/>
    <xdr:pic>
      <xdr:nvPicPr>
        <xdr:cNvPr id="561" name="/xl/media/image342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470</xdr:row>
      <xdr:rowOff>428625</xdr:rowOff>
    </xdr:from>
    <xdr:ext cx="1438275" cy="1438275"/>
    <xdr:pic>
      <xdr:nvPicPr>
        <xdr:cNvPr id="562" name="/xl/media/image369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472</xdr:row>
      <xdr:rowOff>9525</xdr:rowOff>
    </xdr:from>
    <xdr:ext cx="571500" cy="571500"/>
    <xdr:pic>
      <xdr:nvPicPr>
        <xdr:cNvPr id="563" name="/xl/media/image370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472</xdr:row>
      <xdr:rowOff>9525</xdr:rowOff>
    </xdr:from>
    <xdr:ext cx="571500" cy="571500"/>
    <xdr:pic>
      <xdr:nvPicPr>
        <xdr:cNvPr id="564" name="/xl/media/image371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472</xdr:row>
      <xdr:rowOff>9525</xdr:rowOff>
    </xdr:from>
    <xdr:ext cx="571500" cy="571500"/>
    <xdr:pic>
      <xdr:nvPicPr>
        <xdr:cNvPr id="565" name="/xl/media/image372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474</xdr:row>
      <xdr:rowOff>9525</xdr:rowOff>
    </xdr:from>
    <xdr:ext cx="571500" cy="571500"/>
    <xdr:pic>
      <xdr:nvPicPr>
        <xdr:cNvPr id="566" name="/xl/media/image37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477</xdr:row>
      <xdr:rowOff>428625</xdr:rowOff>
    </xdr:from>
    <xdr:ext cx="1438275" cy="1438275"/>
    <xdr:pic>
      <xdr:nvPicPr>
        <xdr:cNvPr id="567" name="/xl/media/image374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479</xdr:row>
      <xdr:rowOff>9525</xdr:rowOff>
    </xdr:from>
    <xdr:ext cx="571500" cy="571500"/>
    <xdr:pic>
      <xdr:nvPicPr>
        <xdr:cNvPr id="568" name="/xl/media/image370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479</xdr:row>
      <xdr:rowOff>9525</xdr:rowOff>
    </xdr:from>
    <xdr:ext cx="571500" cy="571500"/>
    <xdr:pic>
      <xdr:nvPicPr>
        <xdr:cNvPr id="569" name="/xl/media/image371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479</xdr:row>
      <xdr:rowOff>9525</xdr:rowOff>
    </xdr:from>
    <xdr:ext cx="571500" cy="571500"/>
    <xdr:pic>
      <xdr:nvPicPr>
        <xdr:cNvPr id="570" name="/xl/media/image372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481</xdr:row>
      <xdr:rowOff>9525</xdr:rowOff>
    </xdr:from>
    <xdr:ext cx="571500" cy="571500"/>
    <xdr:pic>
      <xdr:nvPicPr>
        <xdr:cNvPr id="571" name="/xl/media/image37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484</xdr:row>
      <xdr:rowOff>428625</xdr:rowOff>
    </xdr:from>
    <xdr:ext cx="1438275" cy="1438275"/>
    <xdr:pic>
      <xdr:nvPicPr>
        <xdr:cNvPr id="572" name="/xl/media/image375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486</xdr:row>
      <xdr:rowOff>9525</xdr:rowOff>
    </xdr:from>
    <xdr:ext cx="571500" cy="571500"/>
    <xdr:pic>
      <xdr:nvPicPr>
        <xdr:cNvPr id="573" name="/xl/media/image370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486</xdr:row>
      <xdr:rowOff>9525</xdr:rowOff>
    </xdr:from>
    <xdr:ext cx="571500" cy="571500"/>
    <xdr:pic>
      <xdr:nvPicPr>
        <xdr:cNvPr id="574" name="/xl/media/image371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486</xdr:row>
      <xdr:rowOff>9525</xdr:rowOff>
    </xdr:from>
    <xdr:ext cx="571500" cy="571500"/>
    <xdr:pic>
      <xdr:nvPicPr>
        <xdr:cNvPr id="575" name="/xl/media/image372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488</xdr:row>
      <xdr:rowOff>9525</xdr:rowOff>
    </xdr:from>
    <xdr:ext cx="571500" cy="571500"/>
    <xdr:pic>
      <xdr:nvPicPr>
        <xdr:cNvPr id="576" name="/xl/media/image37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491</xdr:row>
      <xdr:rowOff>428625</xdr:rowOff>
    </xdr:from>
    <xdr:ext cx="1438275" cy="1438275"/>
    <xdr:pic>
      <xdr:nvPicPr>
        <xdr:cNvPr id="577" name="/xl/media/image376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493</xdr:row>
      <xdr:rowOff>9525</xdr:rowOff>
    </xdr:from>
    <xdr:ext cx="571500" cy="571500"/>
    <xdr:pic>
      <xdr:nvPicPr>
        <xdr:cNvPr id="578" name="/xl/media/image370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493</xdr:row>
      <xdr:rowOff>9525</xdr:rowOff>
    </xdr:from>
    <xdr:ext cx="571500" cy="571500"/>
    <xdr:pic>
      <xdr:nvPicPr>
        <xdr:cNvPr id="579" name="/xl/media/image371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493</xdr:row>
      <xdr:rowOff>9525</xdr:rowOff>
    </xdr:from>
    <xdr:ext cx="571500" cy="571500"/>
    <xdr:pic>
      <xdr:nvPicPr>
        <xdr:cNvPr id="580" name="/xl/media/image372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495</xdr:row>
      <xdr:rowOff>9525</xdr:rowOff>
    </xdr:from>
    <xdr:ext cx="571500" cy="571500"/>
    <xdr:pic>
      <xdr:nvPicPr>
        <xdr:cNvPr id="581" name="/xl/media/image37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498</xdr:row>
      <xdr:rowOff>428625</xdr:rowOff>
    </xdr:from>
    <xdr:ext cx="1438275" cy="1438275"/>
    <xdr:pic>
      <xdr:nvPicPr>
        <xdr:cNvPr id="582" name="/xl/media/image377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500</xdr:row>
      <xdr:rowOff>9525</xdr:rowOff>
    </xdr:from>
    <xdr:ext cx="571500" cy="571500"/>
    <xdr:pic>
      <xdr:nvPicPr>
        <xdr:cNvPr id="583" name="/xl/media/image370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500</xdr:row>
      <xdr:rowOff>9525</xdr:rowOff>
    </xdr:from>
    <xdr:ext cx="571500" cy="571500"/>
    <xdr:pic>
      <xdr:nvPicPr>
        <xdr:cNvPr id="584" name="/xl/media/image371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500</xdr:row>
      <xdr:rowOff>9525</xdr:rowOff>
    </xdr:from>
    <xdr:ext cx="571500" cy="571500"/>
    <xdr:pic>
      <xdr:nvPicPr>
        <xdr:cNvPr id="585" name="/xl/media/image372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502</xdr:row>
      <xdr:rowOff>9525</xdr:rowOff>
    </xdr:from>
    <xdr:ext cx="571500" cy="571500"/>
    <xdr:pic>
      <xdr:nvPicPr>
        <xdr:cNvPr id="586" name="/xl/media/image37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505</xdr:row>
      <xdr:rowOff>428625</xdr:rowOff>
    </xdr:from>
    <xdr:ext cx="1438275" cy="1438275"/>
    <xdr:pic>
      <xdr:nvPicPr>
        <xdr:cNvPr id="587" name="/xl/media/image378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507</xdr:row>
      <xdr:rowOff>9525</xdr:rowOff>
    </xdr:from>
    <xdr:ext cx="571500" cy="571500"/>
    <xdr:pic>
      <xdr:nvPicPr>
        <xdr:cNvPr id="588" name="/xl/media/image370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507</xdr:row>
      <xdr:rowOff>9525</xdr:rowOff>
    </xdr:from>
    <xdr:ext cx="571500" cy="571500"/>
    <xdr:pic>
      <xdr:nvPicPr>
        <xdr:cNvPr id="589" name="/xl/media/image371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507</xdr:row>
      <xdr:rowOff>9525</xdr:rowOff>
    </xdr:from>
    <xdr:ext cx="571500" cy="571500"/>
    <xdr:pic>
      <xdr:nvPicPr>
        <xdr:cNvPr id="590" name="/xl/media/image372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509</xdr:row>
      <xdr:rowOff>9525</xdr:rowOff>
    </xdr:from>
    <xdr:ext cx="571500" cy="571500"/>
    <xdr:pic>
      <xdr:nvPicPr>
        <xdr:cNvPr id="591" name="/xl/media/image37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512</xdr:row>
      <xdr:rowOff>428625</xdr:rowOff>
    </xdr:from>
    <xdr:ext cx="1438275" cy="1438275"/>
    <xdr:pic>
      <xdr:nvPicPr>
        <xdr:cNvPr id="592" name="/xl/media/image358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513</xdr:row>
      <xdr:rowOff>19050</xdr:rowOff>
    </xdr:from>
    <xdr:ext cx="647700" cy="647700"/>
    <xdr:pic>
      <xdr:nvPicPr>
        <xdr:cNvPr id="593" name="/xl/media/image379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514</xdr:row>
      <xdr:rowOff>9525</xdr:rowOff>
    </xdr:from>
    <xdr:ext cx="571500" cy="571500"/>
    <xdr:pic>
      <xdr:nvPicPr>
        <xdr:cNvPr id="594" name="/xl/media/image370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514</xdr:row>
      <xdr:rowOff>9525</xdr:rowOff>
    </xdr:from>
    <xdr:ext cx="571500" cy="571500"/>
    <xdr:pic>
      <xdr:nvPicPr>
        <xdr:cNvPr id="595" name="/xl/media/image371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514</xdr:row>
      <xdr:rowOff>9525</xdr:rowOff>
    </xdr:from>
    <xdr:ext cx="571500" cy="571500"/>
    <xdr:pic>
      <xdr:nvPicPr>
        <xdr:cNvPr id="596" name="/xl/media/image372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516</xdr:row>
      <xdr:rowOff>9525</xdr:rowOff>
    </xdr:from>
    <xdr:ext cx="571500" cy="571500"/>
    <xdr:pic>
      <xdr:nvPicPr>
        <xdr:cNvPr id="597" name="/xl/media/image37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514</xdr:row>
      <xdr:rowOff>9525</xdr:rowOff>
    </xdr:from>
    <xdr:ext cx="571500" cy="571500"/>
    <xdr:pic>
      <xdr:nvPicPr>
        <xdr:cNvPr id="598" name="/xl/media/image370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514</xdr:row>
      <xdr:rowOff>9525</xdr:rowOff>
    </xdr:from>
    <xdr:ext cx="571500" cy="571500"/>
    <xdr:pic>
      <xdr:nvPicPr>
        <xdr:cNvPr id="599" name="/xl/media/image371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514</xdr:row>
      <xdr:rowOff>9525</xdr:rowOff>
    </xdr:from>
    <xdr:ext cx="571500" cy="571500"/>
    <xdr:pic>
      <xdr:nvPicPr>
        <xdr:cNvPr id="600" name="/xl/media/image372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516</xdr:row>
      <xdr:rowOff>9525</xdr:rowOff>
    </xdr:from>
    <xdr:ext cx="571500" cy="571500"/>
    <xdr:pic>
      <xdr:nvPicPr>
        <xdr:cNvPr id="601" name="/xl/media/image37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519</xdr:row>
      <xdr:rowOff>428625</xdr:rowOff>
    </xdr:from>
    <xdr:ext cx="1438275" cy="1438275"/>
    <xdr:pic>
      <xdr:nvPicPr>
        <xdr:cNvPr id="602" name="/xl/media/image355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520</xdr:row>
      <xdr:rowOff>19050</xdr:rowOff>
    </xdr:from>
    <xdr:ext cx="647700" cy="647700"/>
    <xdr:pic>
      <xdr:nvPicPr>
        <xdr:cNvPr id="603" name="/xl/media/image380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521</xdr:row>
      <xdr:rowOff>9525</xdr:rowOff>
    </xdr:from>
    <xdr:ext cx="571500" cy="571500"/>
    <xdr:pic>
      <xdr:nvPicPr>
        <xdr:cNvPr id="604" name="/xl/media/image370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521</xdr:row>
      <xdr:rowOff>9525</xdr:rowOff>
    </xdr:from>
    <xdr:ext cx="571500" cy="571500"/>
    <xdr:pic>
      <xdr:nvPicPr>
        <xdr:cNvPr id="605" name="/xl/media/image371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521</xdr:row>
      <xdr:rowOff>9525</xdr:rowOff>
    </xdr:from>
    <xdr:ext cx="571500" cy="571500"/>
    <xdr:pic>
      <xdr:nvPicPr>
        <xdr:cNvPr id="606" name="/xl/media/image372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523</xdr:row>
      <xdr:rowOff>9525</xdr:rowOff>
    </xdr:from>
    <xdr:ext cx="571500" cy="571500"/>
    <xdr:pic>
      <xdr:nvPicPr>
        <xdr:cNvPr id="607" name="/xl/media/image37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521</xdr:row>
      <xdr:rowOff>9525</xdr:rowOff>
    </xdr:from>
    <xdr:ext cx="571500" cy="571500"/>
    <xdr:pic>
      <xdr:nvPicPr>
        <xdr:cNvPr id="608" name="/xl/media/image370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521</xdr:row>
      <xdr:rowOff>9525</xdr:rowOff>
    </xdr:from>
    <xdr:ext cx="571500" cy="571500"/>
    <xdr:pic>
      <xdr:nvPicPr>
        <xdr:cNvPr id="609" name="/xl/media/image371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521</xdr:row>
      <xdr:rowOff>9525</xdr:rowOff>
    </xdr:from>
    <xdr:ext cx="571500" cy="571500"/>
    <xdr:pic>
      <xdr:nvPicPr>
        <xdr:cNvPr id="610" name="/xl/media/image372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523</xdr:row>
      <xdr:rowOff>9525</xdr:rowOff>
    </xdr:from>
    <xdr:ext cx="571500" cy="571500"/>
    <xdr:pic>
      <xdr:nvPicPr>
        <xdr:cNvPr id="611" name="/xl/media/image37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526</xdr:row>
      <xdr:rowOff>428625</xdr:rowOff>
    </xdr:from>
    <xdr:ext cx="1438275" cy="1438275"/>
    <xdr:pic>
      <xdr:nvPicPr>
        <xdr:cNvPr id="612" name="/xl/media/image36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527</xdr:row>
      <xdr:rowOff>19050</xdr:rowOff>
    </xdr:from>
    <xdr:ext cx="647700" cy="647700"/>
    <xdr:pic>
      <xdr:nvPicPr>
        <xdr:cNvPr id="613" name="/xl/media/image381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528</xdr:row>
      <xdr:rowOff>9525</xdr:rowOff>
    </xdr:from>
    <xdr:ext cx="571500" cy="571500"/>
    <xdr:pic>
      <xdr:nvPicPr>
        <xdr:cNvPr id="614" name="/xl/media/image370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528</xdr:row>
      <xdr:rowOff>9525</xdr:rowOff>
    </xdr:from>
    <xdr:ext cx="571500" cy="571500"/>
    <xdr:pic>
      <xdr:nvPicPr>
        <xdr:cNvPr id="615" name="/xl/media/image371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528</xdr:row>
      <xdr:rowOff>9525</xdr:rowOff>
    </xdr:from>
    <xdr:ext cx="571500" cy="571500"/>
    <xdr:pic>
      <xdr:nvPicPr>
        <xdr:cNvPr id="616" name="/xl/media/image372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530</xdr:row>
      <xdr:rowOff>9525</xdr:rowOff>
    </xdr:from>
    <xdr:ext cx="571500" cy="571500"/>
    <xdr:pic>
      <xdr:nvPicPr>
        <xdr:cNvPr id="617" name="/xl/media/image37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528</xdr:row>
      <xdr:rowOff>9525</xdr:rowOff>
    </xdr:from>
    <xdr:ext cx="571500" cy="571500"/>
    <xdr:pic>
      <xdr:nvPicPr>
        <xdr:cNvPr id="618" name="/xl/media/image370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528</xdr:row>
      <xdr:rowOff>9525</xdr:rowOff>
    </xdr:from>
    <xdr:ext cx="571500" cy="571500"/>
    <xdr:pic>
      <xdr:nvPicPr>
        <xdr:cNvPr id="619" name="/xl/media/image371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528</xdr:row>
      <xdr:rowOff>9525</xdr:rowOff>
    </xdr:from>
    <xdr:ext cx="571500" cy="571500"/>
    <xdr:pic>
      <xdr:nvPicPr>
        <xdr:cNvPr id="620" name="/xl/media/image372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530</xdr:row>
      <xdr:rowOff>9525</xdr:rowOff>
    </xdr:from>
    <xdr:ext cx="571500" cy="571500"/>
    <xdr:pic>
      <xdr:nvPicPr>
        <xdr:cNvPr id="621" name="/xl/media/image37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533</xdr:row>
      <xdr:rowOff>428625</xdr:rowOff>
    </xdr:from>
    <xdr:ext cx="1438275" cy="1438275"/>
    <xdr:pic>
      <xdr:nvPicPr>
        <xdr:cNvPr id="622" name="/xl/media/image361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534</xdr:row>
      <xdr:rowOff>19050</xdr:rowOff>
    </xdr:from>
    <xdr:ext cx="647700" cy="647700"/>
    <xdr:pic>
      <xdr:nvPicPr>
        <xdr:cNvPr id="623" name="/xl/media/image380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535</xdr:row>
      <xdr:rowOff>9525</xdr:rowOff>
    </xdr:from>
    <xdr:ext cx="571500" cy="571500"/>
    <xdr:pic>
      <xdr:nvPicPr>
        <xdr:cNvPr id="624" name="/xl/media/image370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535</xdr:row>
      <xdr:rowOff>9525</xdr:rowOff>
    </xdr:from>
    <xdr:ext cx="571500" cy="571500"/>
    <xdr:pic>
      <xdr:nvPicPr>
        <xdr:cNvPr id="625" name="/xl/media/image371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535</xdr:row>
      <xdr:rowOff>9525</xdr:rowOff>
    </xdr:from>
    <xdr:ext cx="571500" cy="571500"/>
    <xdr:pic>
      <xdr:nvPicPr>
        <xdr:cNvPr id="626" name="/xl/media/image372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537</xdr:row>
      <xdr:rowOff>9525</xdr:rowOff>
    </xdr:from>
    <xdr:ext cx="571500" cy="571500"/>
    <xdr:pic>
      <xdr:nvPicPr>
        <xdr:cNvPr id="627" name="/xl/media/image37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535</xdr:row>
      <xdr:rowOff>9525</xdr:rowOff>
    </xdr:from>
    <xdr:ext cx="571500" cy="571500"/>
    <xdr:pic>
      <xdr:nvPicPr>
        <xdr:cNvPr id="628" name="/xl/media/image370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535</xdr:row>
      <xdr:rowOff>9525</xdr:rowOff>
    </xdr:from>
    <xdr:ext cx="571500" cy="571500"/>
    <xdr:pic>
      <xdr:nvPicPr>
        <xdr:cNvPr id="629" name="/xl/media/image371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535</xdr:row>
      <xdr:rowOff>9525</xdr:rowOff>
    </xdr:from>
    <xdr:ext cx="571500" cy="571500"/>
    <xdr:pic>
      <xdr:nvPicPr>
        <xdr:cNvPr id="630" name="/xl/media/image372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537</xdr:row>
      <xdr:rowOff>9525</xdr:rowOff>
    </xdr:from>
    <xdr:ext cx="571500" cy="571500"/>
    <xdr:pic>
      <xdr:nvPicPr>
        <xdr:cNvPr id="631" name="/xl/media/image37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540</xdr:row>
      <xdr:rowOff>428625</xdr:rowOff>
    </xdr:from>
    <xdr:ext cx="1438275" cy="1438275"/>
    <xdr:pic>
      <xdr:nvPicPr>
        <xdr:cNvPr id="632" name="/xl/media/image357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541</xdr:row>
      <xdr:rowOff>19050</xdr:rowOff>
    </xdr:from>
    <xdr:ext cx="647700" cy="647700"/>
    <xdr:pic>
      <xdr:nvPicPr>
        <xdr:cNvPr id="633" name="/xl/media/image382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542</xdr:row>
      <xdr:rowOff>9525</xdr:rowOff>
    </xdr:from>
    <xdr:ext cx="571500" cy="571500"/>
    <xdr:pic>
      <xdr:nvPicPr>
        <xdr:cNvPr id="634" name="/xl/media/image370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542</xdr:row>
      <xdr:rowOff>9525</xdr:rowOff>
    </xdr:from>
    <xdr:ext cx="571500" cy="571500"/>
    <xdr:pic>
      <xdr:nvPicPr>
        <xdr:cNvPr id="635" name="/xl/media/image371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542</xdr:row>
      <xdr:rowOff>9525</xdr:rowOff>
    </xdr:from>
    <xdr:ext cx="571500" cy="571500"/>
    <xdr:pic>
      <xdr:nvPicPr>
        <xdr:cNvPr id="636" name="/xl/media/image372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544</xdr:row>
      <xdr:rowOff>9525</xdr:rowOff>
    </xdr:from>
    <xdr:ext cx="571500" cy="571500"/>
    <xdr:pic>
      <xdr:nvPicPr>
        <xdr:cNvPr id="637" name="/xl/media/image37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542</xdr:row>
      <xdr:rowOff>9525</xdr:rowOff>
    </xdr:from>
    <xdr:ext cx="571500" cy="571500"/>
    <xdr:pic>
      <xdr:nvPicPr>
        <xdr:cNvPr id="638" name="/xl/media/image370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542</xdr:row>
      <xdr:rowOff>9525</xdr:rowOff>
    </xdr:from>
    <xdr:ext cx="571500" cy="571500"/>
    <xdr:pic>
      <xdr:nvPicPr>
        <xdr:cNvPr id="639" name="/xl/media/image371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542</xdr:row>
      <xdr:rowOff>9525</xdr:rowOff>
    </xdr:from>
    <xdr:ext cx="571500" cy="571500"/>
    <xdr:pic>
      <xdr:nvPicPr>
        <xdr:cNvPr id="640" name="/xl/media/image372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544</xdr:row>
      <xdr:rowOff>9525</xdr:rowOff>
    </xdr:from>
    <xdr:ext cx="571500" cy="571500"/>
    <xdr:pic>
      <xdr:nvPicPr>
        <xdr:cNvPr id="641" name="/xl/media/image37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547</xdr:row>
      <xdr:rowOff>428625</xdr:rowOff>
    </xdr:from>
    <xdr:ext cx="1438275" cy="1438275"/>
    <xdr:pic>
      <xdr:nvPicPr>
        <xdr:cNvPr id="642" name="/xl/media/image360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548</xdr:row>
      <xdr:rowOff>19050</xdr:rowOff>
    </xdr:from>
    <xdr:ext cx="647700" cy="647700"/>
    <xdr:pic>
      <xdr:nvPicPr>
        <xdr:cNvPr id="643" name="/xl/media/image38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549</xdr:row>
      <xdr:rowOff>9525</xdr:rowOff>
    </xdr:from>
    <xdr:ext cx="571500" cy="571500"/>
    <xdr:pic>
      <xdr:nvPicPr>
        <xdr:cNvPr id="644" name="/xl/media/image370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549</xdr:row>
      <xdr:rowOff>9525</xdr:rowOff>
    </xdr:from>
    <xdr:ext cx="571500" cy="571500"/>
    <xdr:pic>
      <xdr:nvPicPr>
        <xdr:cNvPr id="645" name="/xl/media/image371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549</xdr:row>
      <xdr:rowOff>9525</xdr:rowOff>
    </xdr:from>
    <xdr:ext cx="571500" cy="571500"/>
    <xdr:pic>
      <xdr:nvPicPr>
        <xdr:cNvPr id="646" name="/xl/media/image372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551</xdr:row>
      <xdr:rowOff>9525</xdr:rowOff>
    </xdr:from>
    <xdr:ext cx="571500" cy="571500"/>
    <xdr:pic>
      <xdr:nvPicPr>
        <xdr:cNvPr id="647" name="/xl/media/image37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549</xdr:row>
      <xdr:rowOff>9525</xdr:rowOff>
    </xdr:from>
    <xdr:ext cx="571500" cy="571500"/>
    <xdr:pic>
      <xdr:nvPicPr>
        <xdr:cNvPr id="648" name="/xl/media/image370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549</xdr:row>
      <xdr:rowOff>9525</xdr:rowOff>
    </xdr:from>
    <xdr:ext cx="571500" cy="571500"/>
    <xdr:pic>
      <xdr:nvPicPr>
        <xdr:cNvPr id="649" name="/xl/media/image371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549</xdr:row>
      <xdr:rowOff>9525</xdr:rowOff>
    </xdr:from>
    <xdr:ext cx="571500" cy="571500"/>
    <xdr:pic>
      <xdr:nvPicPr>
        <xdr:cNvPr id="650" name="/xl/media/image372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551</xdr:row>
      <xdr:rowOff>9525</xdr:rowOff>
    </xdr:from>
    <xdr:ext cx="571500" cy="571500"/>
    <xdr:pic>
      <xdr:nvPicPr>
        <xdr:cNvPr id="651" name="/xl/media/image37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554</xdr:row>
      <xdr:rowOff>428625</xdr:rowOff>
    </xdr:from>
    <xdr:ext cx="1438275" cy="1438275"/>
    <xdr:pic>
      <xdr:nvPicPr>
        <xdr:cNvPr id="652" name="/xl/media/image359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555</xdr:row>
      <xdr:rowOff>19050</xdr:rowOff>
    </xdr:from>
    <xdr:ext cx="647700" cy="647700"/>
    <xdr:pic>
      <xdr:nvPicPr>
        <xdr:cNvPr id="653" name="/xl/media/image38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556</xdr:row>
      <xdr:rowOff>9525</xdr:rowOff>
    </xdr:from>
    <xdr:ext cx="571500" cy="571500"/>
    <xdr:pic>
      <xdr:nvPicPr>
        <xdr:cNvPr id="654" name="/xl/media/image370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556</xdr:row>
      <xdr:rowOff>9525</xdr:rowOff>
    </xdr:from>
    <xdr:ext cx="571500" cy="571500"/>
    <xdr:pic>
      <xdr:nvPicPr>
        <xdr:cNvPr id="655" name="/xl/media/image371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556</xdr:row>
      <xdr:rowOff>9525</xdr:rowOff>
    </xdr:from>
    <xdr:ext cx="571500" cy="571500"/>
    <xdr:pic>
      <xdr:nvPicPr>
        <xdr:cNvPr id="656" name="/xl/media/image372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558</xdr:row>
      <xdr:rowOff>9525</xdr:rowOff>
    </xdr:from>
    <xdr:ext cx="571500" cy="571500"/>
    <xdr:pic>
      <xdr:nvPicPr>
        <xdr:cNvPr id="657" name="/xl/media/image37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556</xdr:row>
      <xdr:rowOff>9525</xdr:rowOff>
    </xdr:from>
    <xdr:ext cx="571500" cy="571500"/>
    <xdr:pic>
      <xdr:nvPicPr>
        <xdr:cNvPr id="658" name="/xl/media/image370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556</xdr:row>
      <xdr:rowOff>9525</xdr:rowOff>
    </xdr:from>
    <xdr:ext cx="571500" cy="571500"/>
    <xdr:pic>
      <xdr:nvPicPr>
        <xdr:cNvPr id="659" name="/xl/media/image371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556</xdr:row>
      <xdr:rowOff>9525</xdr:rowOff>
    </xdr:from>
    <xdr:ext cx="571500" cy="571500"/>
    <xdr:pic>
      <xdr:nvPicPr>
        <xdr:cNvPr id="660" name="/xl/media/image372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558</xdr:row>
      <xdr:rowOff>9525</xdr:rowOff>
    </xdr:from>
    <xdr:ext cx="571500" cy="571500"/>
    <xdr:pic>
      <xdr:nvPicPr>
        <xdr:cNvPr id="661" name="/xl/media/image37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561</xdr:row>
      <xdr:rowOff>428625</xdr:rowOff>
    </xdr:from>
    <xdr:ext cx="1438275" cy="1438275"/>
    <xdr:pic>
      <xdr:nvPicPr>
        <xdr:cNvPr id="662" name="/xl/media/image356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562</xdr:row>
      <xdr:rowOff>19050</xdr:rowOff>
    </xdr:from>
    <xdr:ext cx="647700" cy="647700"/>
    <xdr:pic>
      <xdr:nvPicPr>
        <xdr:cNvPr id="663" name="/xl/media/image364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563</xdr:row>
      <xdr:rowOff>9525</xdr:rowOff>
    </xdr:from>
    <xdr:ext cx="571500" cy="571500"/>
    <xdr:pic>
      <xdr:nvPicPr>
        <xdr:cNvPr id="664" name="/xl/media/image370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563</xdr:row>
      <xdr:rowOff>9525</xdr:rowOff>
    </xdr:from>
    <xdr:ext cx="571500" cy="571500"/>
    <xdr:pic>
      <xdr:nvPicPr>
        <xdr:cNvPr id="665" name="/xl/media/image371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563</xdr:row>
      <xdr:rowOff>9525</xdr:rowOff>
    </xdr:from>
    <xdr:ext cx="571500" cy="571500"/>
    <xdr:pic>
      <xdr:nvPicPr>
        <xdr:cNvPr id="666" name="/xl/media/image372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565</xdr:row>
      <xdr:rowOff>9525</xdr:rowOff>
    </xdr:from>
    <xdr:ext cx="571500" cy="571500"/>
    <xdr:pic>
      <xdr:nvPicPr>
        <xdr:cNvPr id="667" name="/xl/media/image37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563</xdr:row>
      <xdr:rowOff>9525</xdr:rowOff>
    </xdr:from>
    <xdr:ext cx="571500" cy="571500"/>
    <xdr:pic>
      <xdr:nvPicPr>
        <xdr:cNvPr id="668" name="/xl/media/image370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563</xdr:row>
      <xdr:rowOff>9525</xdr:rowOff>
    </xdr:from>
    <xdr:ext cx="571500" cy="571500"/>
    <xdr:pic>
      <xdr:nvPicPr>
        <xdr:cNvPr id="669" name="/xl/media/image371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563</xdr:row>
      <xdr:rowOff>9525</xdr:rowOff>
    </xdr:from>
    <xdr:ext cx="571500" cy="571500"/>
    <xdr:pic>
      <xdr:nvPicPr>
        <xdr:cNvPr id="670" name="/xl/media/image372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565</xdr:row>
      <xdr:rowOff>9525</xdr:rowOff>
    </xdr:from>
    <xdr:ext cx="571500" cy="571500"/>
    <xdr:pic>
      <xdr:nvPicPr>
        <xdr:cNvPr id="671" name="/xl/media/image37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568</xdr:row>
      <xdr:rowOff>428625</xdr:rowOff>
    </xdr:from>
    <xdr:ext cx="1438275" cy="1438275"/>
    <xdr:pic>
      <xdr:nvPicPr>
        <xdr:cNvPr id="672" name="/xl/media/image364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569</xdr:row>
      <xdr:rowOff>19050</xdr:rowOff>
    </xdr:from>
    <xdr:ext cx="647700" cy="647700"/>
    <xdr:pic>
      <xdr:nvPicPr>
        <xdr:cNvPr id="673" name="/xl/media/image364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570</xdr:row>
      <xdr:rowOff>9525</xdr:rowOff>
    </xdr:from>
    <xdr:ext cx="571500" cy="571500"/>
    <xdr:pic>
      <xdr:nvPicPr>
        <xdr:cNvPr id="674" name="/xl/media/image370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570</xdr:row>
      <xdr:rowOff>9525</xdr:rowOff>
    </xdr:from>
    <xdr:ext cx="571500" cy="571500"/>
    <xdr:pic>
      <xdr:nvPicPr>
        <xdr:cNvPr id="675" name="/xl/media/image371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570</xdr:row>
      <xdr:rowOff>9525</xdr:rowOff>
    </xdr:from>
    <xdr:ext cx="571500" cy="571500"/>
    <xdr:pic>
      <xdr:nvPicPr>
        <xdr:cNvPr id="676" name="/xl/media/image372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572</xdr:row>
      <xdr:rowOff>9525</xdr:rowOff>
    </xdr:from>
    <xdr:ext cx="571500" cy="571500"/>
    <xdr:pic>
      <xdr:nvPicPr>
        <xdr:cNvPr id="677" name="/xl/media/image37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570</xdr:row>
      <xdr:rowOff>9525</xdr:rowOff>
    </xdr:from>
    <xdr:ext cx="571500" cy="571500"/>
    <xdr:pic>
      <xdr:nvPicPr>
        <xdr:cNvPr id="678" name="/xl/media/image370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570</xdr:row>
      <xdr:rowOff>9525</xdr:rowOff>
    </xdr:from>
    <xdr:ext cx="571500" cy="571500"/>
    <xdr:pic>
      <xdr:nvPicPr>
        <xdr:cNvPr id="679" name="/xl/media/image371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570</xdr:row>
      <xdr:rowOff>9525</xdr:rowOff>
    </xdr:from>
    <xdr:ext cx="571500" cy="571500"/>
    <xdr:pic>
      <xdr:nvPicPr>
        <xdr:cNvPr id="680" name="/xl/media/image372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572</xdr:row>
      <xdr:rowOff>9525</xdr:rowOff>
    </xdr:from>
    <xdr:ext cx="571500" cy="571500"/>
    <xdr:pic>
      <xdr:nvPicPr>
        <xdr:cNvPr id="681" name="/xl/media/image37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575</xdr:row>
      <xdr:rowOff>428625</xdr:rowOff>
    </xdr:from>
    <xdr:ext cx="1438275" cy="1438275"/>
    <xdr:pic>
      <xdr:nvPicPr>
        <xdr:cNvPr id="682" name="/xl/media/image362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576</xdr:row>
      <xdr:rowOff>19050</xdr:rowOff>
    </xdr:from>
    <xdr:ext cx="647700" cy="647700"/>
    <xdr:pic>
      <xdr:nvPicPr>
        <xdr:cNvPr id="683" name="/xl/media/image381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577</xdr:row>
      <xdr:rowOff>9525</xdr:rowOff>
    </xdr:from>
    <xdr:ext cx="571500" cy="571500"/>
    <xdr:pic>
      <xdr:nvPicPr>
        <xdr:cNvPr id="684" name="/xl/media/image370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577</xdr:row>
      <xdr:rowOff>9525</xdr:rowOff>
    </xdr:from>
    <xdr:ext cx="571500" cy="571500"/>
    <xdr:pic>
      <xdr:nvPicPr>
        <xdr:cNvPr id="685" name="/xl/media/image371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577</xdr:row>
      <xdr:rowOff>9525</xdr:rowOff>
    </xdr:from>
    <xdr:ext cx="571500" cy="571500"/>
    <xdr:pic>
      <xdr:nvPicPr>
        <xdr:cNvPr id="686" name="/xl/media/image372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579</xdr:row>
      <xdr:rowOff>9525</xdr:rowOff>
    </xdr:from>
    <xdr:ext cx="571500" cy="571500"/>
    <xdr:pic>
      <xdr:nvPicPr>
        <xdr:cNvPr id="687" name="/xl/media/image37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577</xdr:row>
      <xdr:rowOff>9525</xdr:rowOff>
    </xdr:from>
    <xdr:ext cx="571500" cy="571500"/>
    <xdr:pic>
      <xdr:nvPicPr>
        <xdr:cNvPr id="688" name="/xl/media/image370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577</xdr:row>
      <xdr:rowOff>9525</xdr:rowOff>
    </xdr:from>
    <xdr:ext cx="571500" cy="571500"/>
    <xdr:pic>
      <xdr:nvPicPr>
        <xdr:cNvPr id="689" name="/xl/media/image371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577</xdr:row>
      <xdr:rowOff>9525</xdr:rowOff>
    </xdr:from>
    <xdr:ext cx="571500" cy="571500"/>
    <xdr:pic>
      <xdr:nvPicPr>
        <xdr:cNvPr id="690" name="/xl/media/image372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579</xdr:row>
      <xdr:rowOff>9525</xdr:rowOff>
    </xdr:from>
    <xdr:ext cx="571500" cy="571500"/>
    <xdr:pic>
      <xdr:nvPicPr>
        <xdr:cNvPr id="691" name="/xl/media/image37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582</xdr:row>
      <xdr:rowOff>428625</xdr:rowOff>
    </xdr:from>
    <xdr:ext cx="1438275" cy="1438275"/>
    <xdr:pic>
      <xdr:nvPicPr>
        <xdr:cNvPr id="692" name="/xl/media/image384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584</xdr:row>
      <xdr:rowOff>9525</xdr:rowOff>
    </xdr:from>
    <xdr:ext cx="571500" cy="571500"/>
    <xdr:pic>
      <xdr:nvPicPr>
        <xdr:cNvPr id="693" name="/xl/media/image370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584</xdr:row>
      <xdr:rowOff>9525</xdr:rowOff>
    </xdr:from>
    <xdr:ext cx="571500" cy="571500"/>
    <xdr:pic>
      <xdr:nvPicPr>
        <xdr:cNvPr id="694" name="/xl/media/image371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584</xdr:row>
      <xdr:rowOff>9525</xdr:rowOff>
    </xdr:from>
    <xdr:ext cx="571500" cy="571500"/>
    <xdr:pic>
      <xdr:nvPicPr>
        <xdr:cNvPr id="695" name="/xl/media/image372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586</xdr:row>
      <xdr:rowOff>9525</xdr:rowOff>
    </xdr:from>
    <xdr:ext cx="571500" cy="571500"/>
    <xdr:pic>
      <xdr:nvPicPr>
        <xdr:cNvPr id="696" name="/xl/media/image37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589</xdr:row>
      <xdr:rowOff>428625</xdr:rowOff>
    </xdr:from>
    <xdr:ext cx="1438275" cy="1438275"/>
    <xdr:pic>
      <xdr:nvPicPr>
        <xdr:cNvPr id="697" name="/xl/media/image385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591</xdr:row>
      <xdr:rowOff>9525</xdr:rowOff>
    </xdr:from>
    <xdr:ext cx="571500" cy="571500"/>
    <xdr:pic>
      <xdr:nvPicPr>
        <xdr:cNvPr id="698" name="/xl/media/image370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591</xdr:row>
      <xdr:rowOff>9525</xdr:rowOff>
    </xdr:from>
    <xdr:ext cx="571500" cy="571500"/>
    <xdr:pic>
      <xdr:nvPicPr>
        <xdr:cNvPr id="699" name="/xl/media/image371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591</xdr:row>
      <xdr:rowOff>9525</xdr:rowOff>
    </xdr:from>
    <xdr:ext cx="571500" cy="571500"/>
    <xdr:pic>
      <xdr:nvPicPr>
        <xdr:cNvPr id="700" name="/xl/media/image372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593</xdr:row>
      <xdr:rowOff>9525</xdr:rowOff>
    </xdr:from>
    <xdr:ext cx="571500" cy="571500"/>
    <xdr:pic>
      <xdr:nvPicPr>
        <xdr:cNvPr id="701" name="/xl/media/image37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596</xdr:row>
      <xdr:rowOff>428625</xdr:rowOff>
    </xdr:from>
    <xdr:ext cx="1438275" cy="1438275"/>
    <xdr:pic>
      <xdr:nvPicPr>
        <xdr:cNvPr id="702" name="/xl/media/image386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598</xdr:row>
      <xdr:rowOff>9525</xdr:rowOff>
    </xdr:from>
    <xdr:ext cx="571500" cy="571500"/>
    <xdr:pic>
      <xdr:nvPicPr>
        <xdr:cNvPr id="703" name="/xl/media/image370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598</xdr:row>
      <xdr:rowOff>9525</xdr:rowOff>
    </xdr:from>
    <xdr:ext cx="571500" cy="571500"/>
    <xdr:pic>
      <xdr:nvPicPr>
        <xdr:cNvPr id="704" name="/xl/media/image371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598</xdr:row>
      <xdr:rowOff>9525</xdr:rowOff>
    </xdr:from>
    <xdr:ext cx="571500" cy="571500"/>
    <xdr:pic>
      <xdr:nvPicPr>
        <xdr:cNvPr id="705" name="/xl/media/image372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600</xdr:row>
      <xdr:rowOff>9525</xdr:rowOff>
    </xdr:from>
    <xdr:ext cx="571500" cy="571500"/>
    <xdr:pic>
      <xdr:nvPicPr>
        <xdr:cNvPr id="706" name="/xl/media/image37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603</xdr:row>
      <xdr:rowOff>428625</xdr:rowOff>
    </xdr:from>
    <xdr:ext cx="1438275" cy="1438275"/>
    <xdr:pic>
      <xdr:nvPicPr>
        <xdr:cNvPr id="707" name="/xl/media/image387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605</xdr:row>
      <xdr:rowOff>9525</xdr:rowOff>
    </xdr:from>
    <xdr:ext cx="571500" cy="571500"/>
    <xdr:pic>
      <xdr:nvPicPr>
        <xdr:cNvPr id="708" name="/xl/media/image370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605</xdr:row>
      <xdr:rowOff>9525</xdr:rowOff>
    </xdr:from>
    <xdr:ext cx="571500" cy="571500"/>
    <xdr:pic>
      <xdr:nvPicPr>
        <xdr:cNvPr id="709" name="/xl/media/image371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605</xdr:row>
      <xdr:rowOff>9525</xdr:rowOff>
    </xdr:from>
    <xdr:ext cx="571500" cy="571500"/>
    <xdr:pic>
      <xdr:nvPicPr>
        <xdr:cNvPr id="710" name="/xl/media/image372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607</xdr:row>
      <xdr:rowOff>9525</xdr:rowOff>
    </xdr:from>
    <xdr:ext cx="571500" cy="571500"/>
    <xdr:pic>
      <xdr:nvPicPr>
        <xdr:cNvPr id="711" name="/xl/media/image37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610</xdr:row>
      <xdr:rowOff>428625</xdr:rowOff>
    </xdr:from>
    <xdr:ext cx="1438275" cy="1438275"/>
    <xdr:pic>
      <xdr:nvPicPr>
        <xdr:cNvPr id="712" name="/xl/media/image285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612</xdr:row>
      <xdr:rowOff>9525</xdr:rowOff>
    </xdr:from>
    <xdr:ext cx="571500" cy="571500"/>
    <xdr:pic>
      <xdr:nvPicPr>
        <xdr:cNvPr id="713" name="/xl/media/image370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612</xdr:row>
      <xdr:rowOff>9525</xdr:rowOff>
    </xdr:from>
    <xdr:ext cx="571500" cy="571500"/>
    <xdr:pic>
      <xdr:nvPicPr>
        <xdr:cNvPr id="714" name="/xl/media/image371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612</xdr:row>
      <xdr:rowOff>9525</xdr:rowOff>
    </xdr:from>
    <xdr:ext cx="571500" cy="571500"/>
    <xdr:pic>
      <xdr:nvPicPr>
        <xdr:cNvPr id="715" name="/xl/media/image37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617</xdr:row>
      <xdr:rowOff>428625</xdr:rowOff>
    </xdr:from>
    <xdr:ext cx="1438275" cy="1438275"/>
    <xdr:pic>
      <xdr:nvPicPr>
        <xdr:cNvPr id="716" name="/xl/media/image338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619</xdr:row>
      <xdr:rowOff>9525</xdr:rowOff>
    </xdr:from>
    <xdr:ext cx="571500" cy="571500"/>
    <xdr:pic>
      <xdr:nvPicPr>
        <xdr:cNvPr id="717" name="/xl/media/image370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619</xdr:row>
      <xdr:rowOff>9525</xdr:rowOff>
    </xdr:from>
    <xdr:ext cx="571500" cy="571500"/>
    <xdr:pic>
      <xdr:nvPicPr>
        <xdr:cNvPr id="718" name="/xl/media/image371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619</xdr:row>
      <xdr:rowOff>9525</xdr:rowOff>
    </xdr:from>
    <xdr:ext cx="571500" cy="571500"/>
    <xdr:pic>
      <xdr:nvPicPr>
        <xdr:cNvPr id="719" name="/xl/media/image37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624</xdr:row>
      <xdr:rowOff>428625</xdr:rowOff>
    </xdr:from>
    <xdr:ext cx="1438275" cy="1438275"/>
    <xdr:pic>
      <xdr:nvPicPr>
        <xdr:cNvPr id="720" name="/xl/media/image388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626</xdr:row>
      <xdr:rowOff>9525</xdr:rowOff>
    </xdr:from>
    <xdr:ext cx="571500" cy="571500"/>
    <xdr:pic>
      <xdr:nvPicPr>
        <xdr:cNvPr id="721" name="/xl/media/image370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626</xdr:row>
      <xdr:rowOff>9525</xdr:rowOff>
    </xdr:from>
    <xdr:ext cx="571500" cy="571500"/>
    <xdr:pic>
      <xdr:nvPicPr>
        <xdr:cNvPr id="722" name="/xl/media/image371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626</xdr:row>
      <xdr:rowOff>9525</xdr:rowOff>
    </xdr:from>
    <xdr:ext cx="571500" cy="571500"/>
    <xdr:pic>
      <xdr:nvPicPr>
        <xdr:cNvPr id="723" name="/xl/media/image37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631</xdr:row>
      <xdr:rowOff>428625</xdr:rowOff>
    </xdr:from>
    <xdr:ext cx="1438275" cy="1438275"/>
    <xdr:pic>
      <xdr:nvPicPr>
        <xdr:cNvPr id="724" name="/xl/media/image389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633</xdr:row>
      <xdr:rowOff>9525</xdr:rowOff>
    </xdr:from>
    <xdr:ext cx="571500" cy="571500"/>
    <xdr:pic>
      <xdr:nvPicPr>
        <xdr:cNvPr id="725" name="/xl/media/image370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633</xdr:row>
      <xdr:rowOff>9525</xdr:rowOff>
    </xdr:from>
    <xdr:ext cx="571500" cy="571500"/>
    <xdr:pic>
      <xdr:nvPicPr>
        <xdr:cNvPr id="726" name="/xl/media/image371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633</xdr:row>
      <xdr:rowOff>9525</xdr:rowOff>
    </xdr:from>
    <xdr:ext cx="571500" cy="571500"/>
    <xdr:pic>
      <xdr:nvPicPr>
        <xdr:cNvPr id="727" name="/xl/media/image37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638</xdr:row>
      <xdr:rowOff>428625</xdr:rowOff>
    </xdr:from>
    <xdr:ext cx="1438275" cy="1438275"/>
    <xdr:pic>
      <xdr:nvPicPr>
        <xdr:cNvPr id="728" name="/xl/media/image390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640</xdr:row>
      <xdr:rowOff>9525</xdr:rowOff>
    </xdr:from>
    <xdr:ext cx="571500" cy="571500"/>
    <xdr:pic>
      <xdr:nvPicPr>
        <xdr:cNvPr id="729" name="/xl/media/image370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640</xdr:row>
      <xdr:rowOff>9525</xdr:rowOff>
    </xdr:from>
    <xdr:ext cx="571500" cy="571500"/>
    <xdr:pic>
      <xdr:nvPicPr>
        <xdr:cNvPr id="730" name="/xl/media/image371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640</xdr:row>
      <xdr:rowOff>9525</xdr:rowOff>
    </xdr:from>
    <xdr:ext cx="571500" cy="571500"/>
    <xdr:pic>
      <xdr:nvPicPr>
        <xdr:cNvPr id="731" name="/xl/media/image37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645</xdr:row>
      <xdr:rowOff>428625</xdr:rowOff>
    </xdr:from>
    <xdr:ext cx="1438275" cy="1438275"/>
    <xdr:pic>
      <xdr:nvPicPr>
        <xdr:cNvPr id="732" name="/xl/media/image391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647</xdr:row>
      <xdr:rowOff>9525</xdr:rowOff>
    </xdr:from>
    <xdr:ext cx="571500" cy="571500"/>
    <xdr:pic>
      <xdr:nvPicPr>
        <xdr:cNvPr id="733" name="/xl/media/image370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647</xdr:row>
      <xdr:rowOff>9525</xdr:rowOff>
    </xdr:from>
    <xdr:ext cx="571500" cy="571500"/>
    <xdr:pic>
      <xdr:nvPicPr>
        <xdr:cNvPr id="734" name="/xl/media/image371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647</xdr:row>
      <xdr:rowOff>9525</xdr:rowOff>
    </xdr:from>
    <xdr:ext cx="571500" cy="571500"/>
    <xdr:pic>
      <xdr:nvPicPr>
        <xdr:cNvPr id="735" name="/xl/media/image37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652</xdr:row>
      <xdr:rowOff>428625</xdr:rowOff>
    </xdr:from>
    <xdr:ext cx="1438275" cy="1438275"/>
    <xdr:pic>
      <xdr:nvPicPr>
        <xdr:cNvPr id="736" name="/xl/media/image392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654</xdr:row>
      <xdr:rowOff>9525</xdr:rowOff>
    </xdr:from>
    <xdr:ext cx="571500" cy="571500"/>
    <xdr:pic>
      <xdr:nvPicPr>
        <xdr:cNvPr id="737" name="/xl/media/image39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654</xdr:row>
      <xdr:rowOff>9525</xdr:rowOff>
    </xdr:from>
    <xdr:ext cx="571500" cy="571500"/>
    <xdr:pic>
      <xdr:nvPicPr>
        <xdr:cNvPr id="738" name="/xl/media/image394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654</xdr:row>
      <xdr:rowOff>9525</xdr:rowOff>
    </xdr:from>
    <xdr:ext cx="571500" cy="571500"/>
    <xdr:pic>
      <xdr:nvPicPr>
        <xdr:cNvPr id="739" name="/xl/media/image395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659</xdr:row>
      <xdr:rowOff>428625</xdr:rowOff>
    </xdr:from>
    <xdr:ext cx="1438275" cy="1438275"/>
    <xdr:pic>
      <xdr:nvPicPr>
        <xdr:cNvPr id="740" name="/xl/media/image396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661</xdr:row>
      <xdr:rowOff>9525</xdr:rowOff>
    </xdr:from>
    <xdr:ext cx="571500" cy="571500"/>
    <xdr:pic>
      <xdr:nvPicPr>
        <xdr:cNvPr id="741" name="/xl/media/image39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661</xdr:row>
      <xdr:rowOff>9525</xdr:rowOff>
    </xdr:from>
    <xdr:ext cx="571500" cy="571500"/>
    <xdr:pic>
      <xdr:nvPicPr>
        <xdr:cNvPr id="742" name="/xl/media/image394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661</xdr:row>
      <xdr:rowOff>9525</xdr:rowOff>
    </xdr:from>
    <xdr:ext cx="571500" cy="571500"/>
    <xdr:pic>
      <xdr:nvPicPr>
        <xdr:cNvPr id="743" name="/xl/media/image395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666</xdr:row>
      <xdr:rowOff>428625</xdr:rowOff>
    </xdr:from>
    <xdr:ext cx="1438275" cy="1438275"/>
    <xdr:pic>
      <xdr:nvPicPr>
        <xdr:cNvPr id="744" name="/xl/media/image366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667</xdr:row>
      <xdr:rowOff>19050</xdr:rowOff>
    </xdr:from>
    <xdr:ext cx="647700" cy="647700"/>
    <xdr:pic>
      <xdr:nvPicPr>
        <xdr:cNvPr id="745" name="/xl/media/image397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668</xdr:row>
      <xdr:rowOff>9525</xdr:rowOff>
    </xdr:from>
    <xdr:ext cx="571500" cy="571500"/>
    <xdr:pic>
      <xdr:nvPicPr>
        <xdr:cNvPr id="746" name="/xl/media/image370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668</xdr:row>
      <xdr:rowOff>9525</xdr:rowOff>
    </xdr:from>
    <xdr:ext cx="571500" cy="571500"/>
    <xdr:pic>
      <xdr:nvPicPr>
        <xdr:cNvPr id="747" name="/xl/media/image371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668</xdr:row>
      <xdr:rowOff>9525</xdr:rowOff>
    </xdr:from>
    <xdr:ext cx="571500" cy="571500"/>
    <xdr:pic>
      <xdr:nvPicPr>
        <xdr:cNvPr id="748" name="/xl/media/image372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670</xdr:row>
      <xdr:rowOff>9525</xdr:rowOff>
    </xdr:from>
    <xdr:ext cx="571500" cy="571500"/>
    <xdr:pic>
      <xdr:nvPicPr>
        <xdr:cNvPr id="749" name="/xl/media/image37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668</xdr:row>
      <xdr:rowOff>9525</xdr:rowOff>
    </xdr:from>
    <xdr:ext cx="571500" cy="571500"/>
    <xdr:pic>
      <xdr:nvPicPr>
        <xdr:cNvPr id="750" name="/xl/media/image370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668</xdr:row>
      <xdr:rowOff>9525</xdr:rowOff>
    </xdr:from>
    <xdr:ext cx="571500" cy="571500"/>
    <xdr:pic>
      <xdr:nvPicPr>
        <xdr:cNvPr id="751" name="/xl/media/image371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668</xdr:row>
      <xdr:rowOff>9525</xdr:rowOff>
    </xdr:from>
    <xdr:ext cx="571500" cy="571500"/>
    <xdr:pic>
      <xdr:nvPicPr>
        <xdr:cNvPr id="752" name="/xl/media/image372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670</xdr:row>
      <xdr:rowOff>9525</xdr:rowOff>
    </xdr:from>
    <xdr:ext cx="571500" cy="571500"/>
    <xdr:pic>
      <xdr:nvPicPr>
        <xdr:cNvPr id="753" name="/xl/media/image37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673</xdr:row>
      <xdr:rowOff>428625</xdr:rowOff>
    </xdr:from>
    <xdr:ext cx="1438275" cy="1438275"/>
    <xdr:pic>
      <xdr:nvPicPr>
        <xdr:cNvPr id="754" name="/xl/media/image365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674</xdr:row>
      <xdr:rowOff>19050</xdr:rowOff>
    </xdr:from>
    <xdr:ext cx="647700" cy="647700"/>
    <xdr:pic>
      <xdr:nvPicPr>
        <xdr:cNvPr id="755" name="/xl/media/image398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675</xdr:row>
      <xdr:rowOff>9525</xdr:rowOff>
    </xdr:from>
    <xdr:ext cx="571500" cy="571500"/>
    <xdr:pic>
      <xdr:nvPicPr>
        <xdr:cNvPr id="756" name="/xl/media/image370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675</xdr:row>
      <xdr:rowOff>9525</xdr:rowOff>
    </xdr:from>
    <xdr:ext cx="571500" cy="571500"/>
    <xdr:pic>
      <xdr:nvPicPr>
        <xdr:cNvPr id="757" name="/xl/media/image371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675</xdr:row>
      <xdr:rowOff>9525</xdr:rowOff>
    </xdr:from>
    <xdr:ext cx="571500" cy="571500"/>
    <xdr:pic>
      <xdr:nvPicPr>
        <xdr:cNvPr id="758" name="/xl/media/image372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677</xdr:row>
      <xdr:rowOff>9525</xdr:rowOff>
    </xdr:from>
    <xdr:ext cx="571500" cy="571500"/>
    <xdr:pic>
      <xdr:nvPicPr>
        <xdr:cNvPr id="759" name="/xl/media/image37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675</xdr:row>
      <xdr:rowOff>9525</xdr:rowOff>
    </xdr:from>
    <xdr:ext cx="571500" cy="571500"/>
    <xdr:pic>
      <xdr:nvPicPr>
        <xdr:cNvPr id="760" name="/xl/media/image370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675</xdr:row>
      <xdr:rowOff>9525</xdr:rowOff>
    </xdr:from>
    <xdr:ext cx="571500" cy="571500"/>
    <xdr:pic>
      <xdr:nvPicPr>
        <xdr:cNvPr id="761" name="/xl/media/image371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675</xdr:row>
      <xdr:rowOff>9525</xdr:rowOff>
    </xdr:from>
    <xdr:ext cx="571500" cy="571500"/>
    <xdr:pic>
      <xdr:nvPicPr>
        <xdr:cNvPr id="762" name="/xl/media/image372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677</xdr:row>
      <xdr:rowOff>9525</xdr:rowOff>
    </xdr:from>
    <xdr:ext cx="571500" cy="571500"/>
    <xdr:pic>
      <xdr:nvPicPr>
        <xdr:cNvPr id="763" name="/xl/media/image37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680</xdr:row>
      <xdr:rowOff>428625</xdr:rowOff>
    </xdr:from>
    <xdr:ext cx="1438275" cy="1438275"/>
    <xdr:pic>
      <xdr:nvPicPr>
        <xdr:cNvPr id="764" name="/xl/media/image367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681</xdr:row>
      <xdr:rowOff>19050</xdr:rowOff>
    </xdr:from>
    <xdr:ext cx="647700" cy="647700"/>
    <xdr:pic>
      <xdr:nvPicPr>
        <xdr:cNvPr id="765" name="/xl/media/image399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682</xdr:row>
      <xdr:rowOff>9525</xdr:rowOff>
    </xdr:from>
    <xdr:ext cx="571500" cy="571500"/>
    <xdr:pic>
      <xdr:nvPicPr>
        <xdr:cNvPr id="766" name="/xl/media/image370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682</xdr:row>
      <xdr:rowOff>9525</xdr:rowOff>
    </xdr:from>
    <xdr:ext cx="571500" cy="571500"/>
    <xdr:pic>
      <xdr:nvPicPr>
        <xdr:cNvPr id="767" name="/xl/media/image371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682</xdr:row>
      <xdr:rowOff>9525</xdr:rowOff>
    </xdr:from>
    <xdr:ext cx="571500" cy="571500"/>
    <xdr:pic>
      <xdr:nvPicPr>
        <xdr:cNvPr id="768" name="/xl/media/image372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684</xdr:row>
      <xdr:rowOff>9525</xdr:rowOff>
    </xdr:from>
    <xdr:ext cx="571500" cy="571500"/>
    <xdr:pic>
      <xdr:nvPicPr>
        <xdr:cNvPr id="769" name="/xl/media/image37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682</xdr:row>
      <xdr:rowOff>9525</xdr:rowOff>
    </xdr:from>
    <xdr:ext cx="571500" cy="571500"/>
    <xdr:pic>
      <xdr:nvPicPr>
        <xdr:cNvPr id="770" name="/xl/media/image370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682</xdr:row>
      <xdr:rowOff>9525</xdr:rowOff>
    </xdr:from>
    <xdr:ext cx="571500" cy="571500"/>
    <xdr:pic>
      <xdr:nvPicPr>
        <xdr:cNvPr id="771" name="/xl/media/image371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682</xdr:row>
      <xdr:rowOff>9525</xdr:rowOff>
    </xdr:from>
    <xdr:ext cx="571500" cy="571500"/>
    <xdr:pic>
      <xdr:nvPicPr>
        <xdr:cNvPr id="772" name="/xl/media/image372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684</xdr:row>
      <xdr:rowOff>9525</xdr:rowOff>
    </xdr:from>
    <xdr:ext cx="571500" cy="571500"/>
    <xdr:pic>
      <xdr:nvPicPr>
        <xdr:cNvPr id="773" name="/xl/media/image37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687</xdr:row>
      <xdr:rowOff>428625</xdr:rowOff>
    </xdr:from>
    <xdr:ext cx="1438275" cy="1438275"/>
    <xdr:pic>
      <xdr:nvPicPr>
        <xdr:cNvPr id="774" name="/xl/media/image368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688</xdr:row>
      <xdr:rowOff>19050</xdr:rowOff>
    </xdr:from>
    <xdr:ext cx="647700" cy="647700"/>
    <xdr:pic>
      <xdr:nvPicPr>
        <xdr:cNvPr id="775" name="/xl/media/image400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689</xdr:row>
      <xdr:rowOff>9525</xdr:rowOff>
    </xdr:from>
    <xdr:ext cx="571500" cy="571500"/>
    <xdr:pic>
      <xdr:nvPicPr>
        <xdr:cNvPr id="776" name="/xl/media/image370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689</xdr:row>
      <xdr:rowOff>9525</xdr:rowOff>
    </xdr:from>
    <xdr:ext cx="571500" cy="571500"/>
    <xdr:pic>
      <xdr:nvPicPr>
        <xdr:cNvPr id="777" name="/xl/media/image371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689</xdr:row>
      <xdr:rowOff>9525</xdr:rowOff>
    </xdr:from>
    <xdr:ext cx="571500" cy="571500"/>
    <xdr:pic>
      <xdr:nvPicPr>
        <xdr:cNvPr id="778" name="/xl/media/image372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691</xdr:row>
      <xdr:rowOff>9525</xdr:rowOff>
    </xdr:from>
    <xdr:ext cx="571500" cy="571500"/>
    <xdr:pic>
      <xdr:nvPicPr>
        <xdr:cNvPr id="779" name="/xl/media/image37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689</xdr:row>
      <xdr:rowOff>9525</xdr:rowOff>
    </xdr:from>
    <xdr:ext cx="571500" cy="571500"/>
    <xdr:pic>
      <xdr:nvPicPr>
        <xdr:cNvPr id="780" name="/xl/media/image370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689</xdr:row>
      <xdr:rowOff>9525</xdr:rowOff>
    </xdr:from>
    <xdr:ext cx="571500" cy="571500"/>
    <xdr:pic>
      <xdr:nvPicPr>
        <xdr:cNvPr id="781" name="/xl/media/image371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689</xdr:row>
      <xdr:rowOff>9525</xdr:rowOff>
    </xdr:from>
    <xdr:ext cx="571500" cy="571500"/>
    <xdr:pic>
      <xdr:nvPicPr>
        <xdr:cNvPr id="782" name="/xl/media/image372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691</xdr:row>
      <xdr:rowOff>9525</xdr:rowOff>
    </xdr:from>
    <xdr:ext cx="571500" cy="571500"/>
    <xdr:pic>
      <xdr:nvPicPr>
        <xdr:cNvPr id="783" name="/xl/media/image37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694</xdr:row>
      <xdr:rowOff>428625</xdr:rowOff>
    </xdr:from>
    <xdr:ext cx="1438275" cy="1438275"/>
    <xdr:pic>
      <xdr:nvPicPr>
        <xdr:cNvPr id="784" name="/xl/media/image351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695</xdr:row>
      <xdr:rowOff>19050</xdr:rowOff>
    </xdr:from>
    <xdr:ext cx="647700" cy="647700"/>
    <xdr:pic>
      <xdr:nvPicPr>
        <xdr:cNvPr id="785" name="/xl/media/image338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696</xdr:row>
      <xdr:rowOff>9525</xdr:rowOff>
    </xdr:from>
    <xdr:ext cx="571500" cy="571500"/>
    <xdr:pic>
      <xdr:nvPicPr>
        <xdr:cNvPr id="786" name="/xl/media/image370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696</xdr:row>
      <xdr:rowOff>9525</xdr:rowOff>
    </xdr:from>
    <xdr:ext cx="571500" cy="571500"/>
    <xdr:pic>
      <xdr:nvPicPr>
        <xdr:cNvPr id="787" name="/xl/media/image371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696</xdr:row>
      <xdr:rowOff>9525</xdr:rowOff>
    </xdr:from>
    <xdr:ext cx="571500" cy="571500"/>
    <xdr:pic>
      <xdr:nvPicPr>
        <xdr:cNvPr id="788" name="/xl/media/image372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698</xdr:row>
      <xdr:rowOff>9525</xdr:rowOff>
    </xdr:from>
    <xdr:ext cx="571500" cy="571500"/>
    <xdr:pic>
      <xdr:nvPicPr>
        <xdr:cNvPr id="789" name="/xl/media/image37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701</xdr:row>
      <xdr:rowOff>428625</xdr:rowOff>
    </xdr:from>
    <xdr:ext cx="1438275" cy="1438275"/>
    <xdr:pic>
      <xdr:nvPicPr>
        <xdr:cNvPr id="790" name="/xl/media/image352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702</xdr:row>
      <xdr:rowOff>19050</xdr:rowOff>
    </xdr:from>
    <xdr:ext cx="647700" cy="647700"/>
    <xdr:pic>
      <xdr:nvPicPr>
        <xdr:cNvPr id="791" name="/xl/media/image401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703</xdr:row>
      <xdr:rowOff>9525</xdr:rowOff>
    </xdr:from>
    <xdr:ext cx="571500" cy="571500"/>
    <xdr:pic>
      <xdr:nvPicPr>
        <xdr:cNvPr id="792" name="/xl/media/image370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703</xdr:row>
      <xdr:rowOff>9525</xdr:rowOff>
    </xdr:from>
    <xdr:ext cx="571500" cy="571500"/>
    <xdr:pic>
      <xdr:nvPicPr>
        <xdr:cNvPr id="793" name="/xl/media/image371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703</xdr:row>
      <xdr:rowOff>9525</xdr:rowOff>
    </xdr:from>
    <xdr:ext cx="571500" cy="571500"/>
    <xdr:pic>
      <xdr:nvPicPr>
        <xdr:cNvPr id="794" name="/xl/media/image372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705</xdr:row>
      <xdr:rowOff>9525</xdr:rowOff>
    </xdr:from>
    <xdr:ext cx="571500" cy="571500"/>
    <xdr:pic>
      <xdr:nvPicPr>
        <xdr:cNvPr id="795" name="/xl/media/image37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708</xdr:row>
      <xdr:rowOff>428625</xdr:rowOff>
    </xdr:from>
    <xdr:ext cx="1438275" cy="1438275"/>
    <xdr:pic>
      <xdr:nvPicPr>
        <xdr:cNvPr id="796" name="/xl/media/image35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709</xdr:row>
      <xdr:rowOff>19050</xdr:rowOff>
    </xdr:from>
    <xdr:ext cx="647700" cy="647700"/>
    <xdr:pic>
      <xdr:nvPicPr>
        <xdr:cNvPr id="797" name="/xl/media/image338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710</xdr:row>
      <xdr:rowOff>9525</xdr:rowOff>
    </xdr:from>
    <xdr:ext cx="571500" cy="571500"/>
    <xdr:pic>
      <xdr:nvPicPr>
        <xdr:cNvPr id="798" name="/xl/media/image370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710</xdr:row>
      <xdr:rowOff>9525</xdr:rowOff>
    </xdr:from>
    <xdr:ext cx="571500" cy="571500"/>
    <xdr:pic>
      <xdr:nvPicPr>
        <xdr:cNvPr id="799" name="/xl/media/image371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710</xdr:row>
      <xdr:rowOff>9525</xdr:rowOff>
    </xdr:from>
    <xdr:ext cx="571500" cy="571500"/>
    <xdr:pic>
      <xdr:nvPicPr>
        <xdr:cNvPr id="800" name="/xl/media/image372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712</xdr:row>
      <xdr:rowOff>9525</xdr:rowOff>
    </xdr:from>
    <xdr:ext cx="571500" cy="571500"/>
    <xdr:pic>
      <xdr:nvPicPr>
        <xdr:cNvPr id="801" name="/xl/media/image37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715</xdr:row>
      <xdr:rowOff>428625</xdr:rowOff>
    </xdr:from>
    <xdr:ext cx="1438275" cy="1438275"/>
    <xdr:pic>
      <xdr:nvPicPr>
        <xdr:cNvPr id="802" name="/xl/media/image402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716</xdr:row>
      <xdr:rowOff>19050</xdr:rowOff>
    </xdr:from>
    <xdr:ext cx="647700" cy="647700"/>
    <xdr:pic>
      <xdr:nvPicPr>
        <xdr:cNvPr id="803" name="/xl/media/image40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717</xdr:row>
      <xdr:rowOff>9525</xdr:rowOff>
    </xdr:from>
    <xdr:ext cx="571500" cy="571500"/>
    <xdr:pic>
      <xdr:nvPicPr>
        <xdr:cNvPr id="804" name="/xl/media/image370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717</xdr:row>
      <xdr:rowOff>9525</xdr:rowOff>
    </xdr:from>
    <xdr:ext cx="571500" cy="571500"/>
    <xdr:pic>
      <xdr:nvPicPr>
        <xdr:cNvPr id="805" name="/xl/media/image371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717</xdr:row>
      <xdr:rowOff>9525</xdr:rowOff>
    </xdr:from>
    <xdr:ext cx="571500" cy="571500"/>
    <xdr:pic>
      <xdr:nvPicPr>
        <xdr:cNvPr id="806" name="/xl/media/image372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719</xdr:row>
      <xdr:rowOff>9525</xdr:rowOff>
    </xdr:from>
    <xdr:ext cx="571500" cy="571500"/>
    <xdr:pic>
      <xdr:nvPicPr>
        <xdr:cNvPr id="807" name="/xl/media/image37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722</xdr:row>
      <xdr:rowOff>428625</xdr:rowOff>
    </xdr:from>
    <xdr:ext cx="1438275" cy="1438275"/>
    <xdr:pic>
      <xdr:nvPicPr>
        <xdr:cNvPr id="808" name="/xl/media/image401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723</xdr:row>
      <xdr:rowOff>19050</xdr:rowOff>
    </xdr:from>
    <xdr:ext cx="647700" cy="647700"/>
    <xdr:pic>
      <xdr:nvPicPr>
        <xdr:cNvPr id="809" name="/xl/media/image404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724</xdr:row>
      <xdr:rowOff>9525</xdr:rowOff>
    </xdr:from>
    <xdr:ext cx="571500" cy="571500"/>
    <xdr:pic>
      <xdr:nvPicPr>
        <xdr:cNvPr id="810" name="/xl/media/image370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724</xdr:row>
      <xdr:rowOff>9525</xdr:rowOff>
    </xdr:from>
    <xdr:ext cx="571500" cy="571500"/>
    <xdr:pic>
      <xdr:nvPicPr>
        <xdr:cNvPr id="811" name="/xl/media/image371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724</xdr:row>
      <xdr:rowOff>9525</xdr:rowOff>
    </xdr:from>
    <xdr:ext cx="571500" cy="571500"/>
    <xdr:pic>
      <xdr:nvPicPr>
        <xdr:cNvPr id="812" name="/xl/media/image37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724</xdr:row>
      <xdr:rowOff>9525</xdr:rowOff>
    </xdr:from>
    <xdr:ext cx="571500" cy="571500"/>
    <xdr:pic>
      <xdr:nvPicPr>
        <xdr:cNvPr id="813" name="/xl/media/image370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724</xdr:row>
      <xdr:rowOff>9525</xdr:rowOff>
    </xdr:from>
    <xdr:ext cx="571500" cy="571500"/>
    <xdr:pic>
      <xdr:nvPicPr>
        <xdr:cNvPr id="814" name="/xl/media/image371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724</xdr:row>
      <xdr:rowOff>9525</xdr:rowOff>
    </xdr:from>
    <xdr:ext cx="571500" cy="571500"/>
    <xdr:pic>
      <xdr:nvPicPr>
        <xdr:cNvPr id="815" name="/xl/media/image37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729</xdr:row>
      <xdr:rowOff>428625</xdr:rowOff>
    </xdr:from>
    <xdr:ext cx="1438275" cy="1438275"/>
    <xdr:pic>
      <xdr:nvPicPr>
        <xdr:cNvPr id="816" name="/xl/media/image40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730</xdr:row>
      <xdr:rowOff>19050</xdr:rowOff>
    </xdr:from>
    <xdr:ext cx="647700" cy="647700"/>
    <xdr:pic>
      <xdr:nvPicPr>
        <xdr:cNvPr id="817" name="/xl/media/image405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731</xdr:row>
      <xdr:rowOff>9525</xdr:rowOff>
    </xdr:from>
    <xdr:ext cx="571500" cy="571500"/>
    <xdr:pic>
      <xdr:nvPicPr>
        <xdr:cNvPr id="818" name="/xl/media/image370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731</xdr:row>
      <xdr:rowOff>9525</xdr:rowOff>
    </xdr:from>
    <xdr:ext cx="571500" cy="571500"/>
    <xdr:pic>
      <xdr:nvPicPr>
        <xdr:cNvPr id="819" name="/xl/media/image371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731</xdr:row>
      <xdr:rowOff>9525</xdr:rowOff>
    </xdr:from>
    <xdr:ext cx="571500" cy="571500"/>
    <xdr:pic>
      <xdr:nvPicPr>
        <xdr:cNvPr id="820" name="/xl/media/image37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730</xdr:row>
      <xdr:rowOff>19050</xdr:rowOff>
    </xdr:from>
    <xdr:ext cx="647700" cy="647700"/>
    <xdr:pic>
      <xdr:nvPicPr>
        <xdr:cNvPr id="821" name="/xl/media/image406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731</xdr:row>
      <xdr:rowOff>9525</xdr:rowOff>
    </xdr:from>
    <xdr:ext cx="571500" cy="571500"/>
    <xdr:pic>
      <xdr:nvPicPr>
        <xdr:cNvPr id="822" name="/xl/media/image370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731</xdr:row>
      <xdr:rowOff>9525</xdr:rowOff>
    </xdr:from>
    <xdr:ext cx="571500" cy="571500"/>
    <xdr:pic>
      <xdr:nvPicPr>
        <xdr:cNvPr id="823" name="/xl/media/image371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731</xdr:row>
      <xdr:rowOff>9525</xdr:rowOff>
    </xdr:from>
    <xdr:ext cx="571500" cy="571500"/>
    <xdr:pic>
      <xdr:nvPicPr>
        <xdr:cNvPr id="824" name="/xl/media/image37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11</xdr:col>
      <xdr:colOff>19050</xdr:colOff>
      <xdr:row>731</xdr:row>
      <xdr:rowOff>9525</xdr:rowOff>
    </xdr:from>
    <xdr:ext cx="571500" cy="571500"/>
    <xdr:pic>
      <xdr:nvPicPr>
        <xdr:cNvPr id="825" name="/xl/media/image370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19050</xdr:colOff>
      <xdr:row>731</xdr:row>
      <xdr:rowOff>9525</xdr:rowOff>
    </xdr:from>
    <xdr:ext cx="571500" cy="571500"/>
    <xdr:pic>
      <xdr:nvPicPr>
        <xdr:cNvPr id="826" name="/xl/media/image371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19050</xdr:colOff>
      <xdr:row>731</xdr:row>
      <xdr:rowOff>9525</xdr:rowOff>
    </xdr:from>
    <xdr:ext cx="571500" cy="571500"/>
    <xdr:pic>
      <xdr:nvPicPr>
        <xdr:cNvPr id="827" name="/xl/media/image37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736</xdr:row>
      <xdr:rowOff>428625</xdr:rowOff>
    </xdr:from>
    <xdr:ext cx="1438275" cy="1438275"/>
    <xdr:pic>
      <xdr:nvPicPr>
        <xdr:cNvPr id="828" name="/xl/media/image405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737</xdr:row>
      <xdr:rowOff>19050</xdr:rowOff>
    </xdr:from>
    <xdr:ext cx="647700" cy="647700"/>
    <xdr:pic>
      <xdr:nvPicPr>
        <xdr:cNvPr id="829" name="/xl/media/image407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738</xdr:row>
      <xdr:rowOff>9525</xdr:rowOff>
    </xdr:from>
    <xdr:ext cx="571500" cy="571500"/>
    <xdr:pic>
      <xdr:nvPicPr>
        <xdr:cNvPr id="830" name="/xl/media/image39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738</xdr:row>
      <xdr:rowOff>9525</xdr:rowOff>
    </xdr:from>
    <xdr:ext cx="571500" cy="571500"/>
    <xdr:pic>
      <xdr:nvPicPr>
        <xdr:cNvPr id="831" name="/xl/media/image394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738</xdr:row>
      <xdr:rowOff>9525</xdr:rowOff>
    </xdr:from>
    <xdr:ext cx="571500" cy="571500"/>
    <xdr:pic>
      <xdr:nvPicPr>
        <xdr:cNvPr id="832" name="/xl/media/image395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738</xdr:row>
      <xdr:rowOff>9525</xdr:rowOff>
    </xdr:from>
    <xdr:ext cx="571500" cy="571500"/>
    <xdr:pic>
      <xdr:nvPicPr>
        <xdr:cNvPr id="833" name="/xl/media/image39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738</xdr:row>
      <xdr:rowOff>9525</xdr:rowOff>
    </xdr:from>
    <xdr:ext cx="571500" cy="571500"/>
    <xdr:pic>
      <xdr:nvPicPr>
        <xdr:cNvPr id="834" name="/xl/media/image394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738</xdr:row>
      <xdr:rowOff>9525</xdr:rowOff>
    </xdr:from>
    <xdr:ext cx="571500" cy="571500"/>
    <xdr:pic>
      <xdr:nvPicPr>
        <xdr:cNvPr id="835" name="/xl/media/image395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743</xdr:row>
      <xdr:rowOff>428625</xdr:rowOff>
    </xdr:from>
    <xdr:ext cx="1438275" cy="1438275"/>
    <xdr:pic>
      <xdr:nvPicPr>
        <xdr:cNvPr id="836" name="/xl/media/image380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745</xdr:row>
      <xdr:rowOff>9525</xdr:rowOff>
    </xdr:from>
    <xdr:ext cx="571500" cy="571500"/>
    <xdr:pic>
      <xdr:nvPicPr>
        <xdr:cNvPr id="837" name="/xl/media/image39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745</xdr:row>
      <xdr:rowOff>9525</xdr:rowOff>
    </xdr:from>
    <xdr:ext cx="571500" cy="571500"/>
    <xdr:pic>
      <xdr:nvPicPr>
        <xdr:cNvPr id="838" name="/xl/media/image394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745</xdr:row>
      <xdr:rowOff>9525</xdr:rowOff>
    </xdr:from>
    <xdr:ext cx="571500" cy="571500"/>
    <xdr:pic>
      <xdr:nvPicPr>
        <xdr:cNvPr id="839" name="/xl/media/image395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750</xdr:row>
      <xdr:rowOff>428625</xdr:rowOff>
    </xdr:from>
    <xdr:ext cx="1438275" cy="1438275"/>
    <xdr:pic>
      <xdr:nvPicPr>
        <xdr:cNvPr id="840" name="/xl/media/image381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752</xdr:row>
      <xdr:rowOff>9525</xdr:rowOff>
    </xdr:from>
    <xdr:ext cx="571500" cy="571500"/>
    <xdr:pic>
      <xdr:nvPicPr>
        <xdr:cNvPr id="841" name="/xl/media/image39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752</xdr:row>
      <xdr:rowOff>9525</xdr:rowOff>
    </xdr:from>
    <xdr:ext cx="571500" cy="571500"/>
    <xdr:pic>
      <xdr:nvPicPr>
        <xdr:cNvPr id="842" name="/xl/media/image394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752</xdr:row>
      <xdr:rowOff>9525</xdr:rowOff>
    </xdr:from>
    <xdr:ext cx="571500" cy="571500"/>
    <xdr:pic>
      <xdr:nvPicPr>
        <xdr:cNvPr id="843" name="/xl/media/image395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757</xdr:row>
      <xdr:rowOff>428625</xdr:rowOff>
    </xdr:from>
    <xdr:ext cx="1438275" cy="1438275"/>
    <xdr:pic>
      <xdr:nvPicPr>
        <xdr:cNvPr id="844" name="/xl/media/image38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759</xdr:row>
      <xdr:rowOff>9525</xdr:rowOff>
    </xdr:from>
    <xdr:ext cx="571500" cy="571500"/>
    <xdr:pic>
      <xdr:nvPicPr>
        <xdr:cNvPr id="845" name="/xl/media/image39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759</xdr:row>
      <xdr:rowOff>9525</xdr:rowOff>
    </xdr:from>
    <xdr:ext cx="571500" cy="571500"/>
    <xdr:pic>
      <xdr:nvPicPr>
        <xdr:cNvPr id="846" name="/xl/media/image394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759</xdr:row>
      <xdr:rowOff>9525</xdr:rowOff>
    </xdr:from>
    <xdr:ext cx="571500" cy="571500"/>
    <xdr:pic>
      <xdr:nvPicPr>
        <xdr:cNvPr id="847" name="/xl/media/image395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764</xdr:row>
      <xdr:rowOff>428625</xdr:rowOff>
    </xdr:from>
    <xdr:ext cx="1438275" cy="1438275"/>
    <xdr:pic>
      <xdr:nvPicPr>
        <xdr:cNvPr id="848" name="/xl/media/image382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766</xdr:row>
      <xdr:rowOff>9525</xdr:rowOff>
    </xdr:from>
    <xdr:ext cx="571500" cy="571500"/>
    <xdr:pic>
      <xdr:nvPicPr>
        <xdr:cNvPr id="849" name="/xl/media/image39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766</xdr:row>
      <xdr:rowOff>9525</xdr:rowOff>
    </xdr:from>
    <xdr:ext cx="571500" cy="571500"/>
    <xdr:pic>
      <xdr:nvPicPr>
        <xdr:cNvPr id="850" name="/xl/media/image394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766</xdr:row>
      <xdr:rowOff>9525</xdr:rowOff>
    </xdr:from>
    <xdr:ext cx="571500" cy="571500"/>
    <xdr:pic>
      <xdr:nvPicPr>
        <xdr:cNvPr id="851" name="/xl/media/image395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771</xdr:row>
      <xdr:rowOff>428625</xdr:rowOff>
    </xdr:from>
    <xdr:ext cx="1438275" cy="1438275"/>
    <xdr:pic>
      <xdr:nvPicPr>
        <xdr:cNvPr id="852" name="/xl/media/image364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773</xdr:row>
      <xdr:rowOff>9525</xdr:rowOff>
    </xdr:from>
    <xdr:ext cx="571500" cy="571500"/>
    <xdr:pic>
      <xdr:nvPicPr>
        <xdr:cNvPr id="853" name="/xl/media/image39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773</xdr:row>
      <xdr:rowOff>9525</xdr:rowOff>
    </xdr:from>
    <xdr:ext cx="571500" cy="571500"/>
    <xdr:pic>
      <xdr:nvPicPr>
        <xdr:cNvPr id="854" name="/xl/media/image394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773</xdr:row>
      <xdr:rowOff>9525</xdr:rowOff>
    </xdr:from>
    <xdr:ext cx="571500" cy="571500"/>
    <xdr:pic>
      <xdr:nvPicPr>
        <xdr:cNvPr id="855" name="/xl/media/image395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778</xdr:row>
      <xdr:rowOff>428625</xdr:rowOff>
    </xdr:from>
    <xdr:ext cx="1438275" cy="1438275"/>
    <xdr:pic>
      <xdr:nvPicPr>
        <xdr:cNvPr id="856" name="/xl/media/image379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780</xdr:row>
      <xdr:rowOff>9525</xdr:rowOff>
    </xdr:from>
    <xdr:ext cx="571500" cy="571500"/>
    <xdr:pic>
      <xdr:nvPicPr>
        <xdr:cNvPr id="857" name="/xl/media/image39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780</xdr:row>
      <xdr:rowOff>9525</xdr:rowOff>
    </xdr:from>
    <xdr:ext cx="571500" cy="571500"/>
    <xdr:pic>
      <xdr:nvPicPr>
        <xdr:cNvPr id="858" name="/xl/media/image394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780</xdr:row>
      <xdr:rowOff>9525</xdr:rowOff>
    </xdr:from>
    <xdr:ext cx="571500" cy="571500"/>
    <xdr:pic>
      <xdr:nvPicPr>
        <xdr:cNvPr id="859" name="/xl/media/image395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785</xdr:row>
      <xdr:rowOff>428625</xdr:rowOff>
    </xdr:from>
    <xdr:ext cx="1438275" cy="1438275"/>
    <xdr:pic>
      <xdr:nvPicPr>
        <xdr:cNvPr id="860" name="/xl/media/image408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787</xdr:row>
      <xdr:rowOff>9525</xdr:rowOff>
    </xdr:from>
    <xdr:ext cx="571500" cy="571500"/>
    <xdr:pic>
      <xdr:nvPicPr>
        <xdr:cNvPr id="861" name="/xl/media/image39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787</xdr:row>
      <xdr:rowOff>9525</xdr:rowOff>
    </xdr:from>
    <xdr:ext cx="571500" cy="571500"/>
    <xdr:pic>
      <xdr:nvPicPr>
        <xdr:cNvPr id="862" name="/xl/media/image394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787</xdr:row>
      <xdr:rowOff>9525</xdr:rowOff>
    </xdr:from>
    <xdr:ext cx="571500" cy="571500"/>
    <xdr:pic>
      <xdr:nvPicPr>
        <xdr:cNvPr id="863" name="/xl/media/image395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792</xdr:row>
      <xdr:rowOff>428625</xdr:rowOff>
    </xdr:from>
    <xdr:ext cx="1438275" cy="1438275"/>
    <xdr:pic>
      <xdr:nvPicPr>
        <xdr:cNvPr id="864" name="/xl/media/image409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794</xdr:row>
      <xdr:rowOff>9525</xdr:rowOff>
    </xdr:from>
    <xdr:ext cx="571500" cy="571500"/>
    <xdr:pic>
      <xdr:nvPicPr>
        <xdr:cNvPr id="865" name="/xl/media/image39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794</xdr:row>
      <xdr:rowOff>9525</xdr:rowOff>
    </xdr:from>
    <xdr:ext cx="571500" cy="571500"/>
    <xdr:pic>
      <xdr:nvPicPr>
        <xdr:cNvPr id="866" name="/xl/media/image394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794</xdr:row>
      <xdr:rowOff>9525</xdr:rowOff>
    </xdr:from>
    <xdr:ext cx="571500" cy="571500"/>
    <xdr:pic>
      <xdr:nvPicPr>
        <xdr:cNvPr id="867" name="/xl/media/image395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799</xdr:row>
      <xdr:rowOff>428625</xdr:rowOff>
    </xdr:from>
    <xdr:ext cx="1438275" cy="1438275"/>
    <xdr:pic>
      <xdr:nvPicPr>
        <xdr:cNvPr id="868" name="/xl/media/image410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801</xdr:row>
      <xdr:rowOff>9525</xdr:rowOff>
    </xdr:from>
    <xdr:ext cx="571500" cy="571500"/>
    <xdr:pic>
      <xdr:nvPicPr>
        <xdr:cNvPr id="869" name="/xl/media/image39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801</xdr:row>
      <xdr:rowOff>9525</xdr:rowOff>
    </xdr:from>
    <xdr:ext cx="571500" cy="571500"/>
    <xdr:pic>
      <xdr:nvPicPr>
        <xdr:cNvPr id="870" name="/xl/media/image394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806</xdr:row>
      <xdr:rowOff>428625</xdr:rowOff>
    </xdr:from>
    <xdr:ext cx="1438275" cy="1438275"/>
    <xdr:pic>
      <xdr:nvPicPr>
        <xdr:cNvPr id="871" name="/xl/media/image397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808</xdr:row>
      <xdr:rowOff>9525</xdr:rowOff>
    </xdr:from>
    <xdr:ext cx="571500" cy="571500"/>
    <xdr:pic>
      <xdr:nvPicPr>
        <xdr:cNvPr id="872" name="/xl/media/image39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808</xdr:row>
      <xdr:rowOff>9525</xdr:rowOff>
    </xdr:from>
    <xdr:ext cx="571500" cy="571500"/>
    <xdr:pic>
      <xdr:nvPicPr>
        <xdr:cNvPr id="873" name="/xl/media/image394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808</xdr:row>
      <xdr:rowOff>9525</xdr:rowOff>
    </xdr:from>
    <xdr:ext cx="571500" cy="571500"/>
    <xdr:pic>
      <xdr:nvPicPr>
        <xdr:cNvPr id="874" name="/xl/media/image395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813</xdr:row>
      <xdr:rowOff>428625</xdr:rowOff>
    </xdr:from>
    <xdr:ext cx="1438275" cy="1438275"/>
    <xdr:pic>
      <xdr:nvPicPr>
        <xdr:cNvPr id="875" name="/xl/media/image398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815</xdr:row>
      <xdr:rowOff>9525</xdr:rowOff>
    </xdr:from>
    <xdr:ext cx="571500" cy="571500"/>
    <xdr:pic>
      <xdr:nvPicPr>
        <xdr:cNvPr id="876" name="/xl/media/image39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815</xdr:row>
      <xdr:rowOff>9525</xdr:rowOff>
    </xdr:from>
    <xdr:ext cx="571500" cy="571500"/>
    <xdr:pic>
      <xdr:nvPicPr>
        <xdr:cNvPr id="877" name="/xl/media/image394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815</xdr:row>
      <xdr:rowOff>9525</xdr:rowOff>
    </xdr:from>
    <xdr:ext cx="571500" cy="571500"/>
    <xdr:pic>
      <xdr:nvPicPr>
        <xdr:cNvPr id="878" name="/xl/media/image395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820</xdr:row>
      <xdr:rowOff>428625</xdr:rowOff>
    </xdr:from>
    <xdr:ext cx="1438275" cy="1438275"/>
    <xdr:pic>
      <xdr:nvPicPr>
        <xdr:cNvPr id="879" name="/xl/media/image399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822</xdr:row>
      <xdr:rowOff>9525</xdr:rowOff>
    </xdr:from>
    <xdr:ext cx="571500" cy="571500"/>
    <xdr:pic>
      <xdr:nvPicPr>
        <xdr:cNvPr id="880" name="/xl/media/image39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822</xdr:row>
      <xdr:rowOff>9525</xdr:rowOff>
    </xdr:from>
    <xdr:ext cx="571500" cy="571500"/>
    <xdr:pic>
      <xdr:nvPicPr>
        <xdr:cNvPr id="881" name="/xl/media/image394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822</xdr:row>
      <xdr:rowOff>9525</xdr:rowOff>
    </xdr:from>
    <xdr:ext cx="571500" cy="571500"/>
    <xdr:pic>
      <xdr:nvPicPr>
        <xdr:cNvPr id="882" name="/xl/media/image395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827</xdr:row>
      <xdr:rowOff>428625</xdr:rowOff>
    </xdr:from>
    <xdr:ext cx="1438275" cy="1438275"/>
    <xdr:pic>
      <xdr:nvPicPr>
        <xdr:cNvPr id="883" name="/xl/media/image400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829</xdr:row>
      <xdr:rowOff>9525</xdr:rowOff>
    </xdr:from>
    <xdr:ext cx="571500" cy="571500"/>
    <xdr:pic>
      <xdr:nvPicPr>
        <xdr:cNvPr id="884" name="/xl/media/image39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829</xdr:row>
      <xdr:rowOff>9525</xdr:rowOff>
    </xdr:from>
    <xdr:ext cx="571500" cy="571500"/>
    <xdr:pic>
      <xdr:nvPicPr>
        <xdr:cNvPr id="885" name="/xl/media/image394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829</xdr:row>
      <xdr:rowOff>9525</xdr:rowOff>
    </xdr:from>
    <xdr:ext cx="571500" cy="571500"/>
    <xdr:pic>
      <xdr:nvPicPr>
        <xdr:cNvPr id="886" name="/xl/media/image395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834</xdr:row>
      <xdr:rowOff>428625</xdr:rowOff>
    </xdr:from>
    <xdr:ext cx="1438275" cy="1438275"/>
    <xdr:pic>
      <xdr:nvPicPr>
        <xdr:cNvPr id="887" name="/xl/media/image411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836</xdr:row>
      <xdr:rowOff>9525</xdr:rowOff>
    </xdr:from>
    <xdr:ext cx="571500" cy="571500"/>
    <xdr:pic>
      <xdr:nvPicPr>
        <xdr:cNvPr id="888" name="/xl/media/image39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836</xdr:row>
      <xdr:rowOff>9525</xdr:rowOff>
    </xdr:from>
    <xdr:ext cx="571500" cy="571500"/>
    <xdr:pic>
      <xdr:nvPicPr>
        <xdr:cNvPr id="889" name="/xl/media/image394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836</xdr:row>
      <xdr:rowOff>9525</xdr:rowOff>
    </xdr:from>
    <xdr:ext cx="571500" cy="571500"/>
    <xdr:pic>
      <xdr:nvPicPr>
        <xdr:cNvPr id="890" name="/xl/media/image395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841</xdr:row>
      <xdr:rowOff>428625</xdr:rowOff>
    </xdr:from>
    <xdr:ext cx="1438275" cy="1438275"/>
    <xdr:pic>
      <xdr:nvPicPr>
        <xdr:cNvPr id="891" name="/xl/media/image412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843</xdr:row>
      <xdr:rowOff>9525</xdr:rowOff>
    </xdr:from>
    <xdr:ext cx="571500" cy="571500"/>
    <xdr:pic>
      <xdr:nvPicPr>
        <xdr:cNvPr id="892" name="/xl/media/image39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843</xdr:row>
      <xdr:rowOff>9525</xdr:rowOff>
    </xdr:from>
    <xdr:ext cx="571500" cy="571500"/>
    <xdr:pic>
      <xdr:nvPicPr>
        <xdr:cNvPr id="893" name="/xl/media/image394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843</xdr:row>
      <xdr:rowOff>9525</xdr:rowOff>
    </xdr:from>
    <xdr:ext cx="571500" cy="571500"/>
    <xdr:pic>
      <xdr:nvPicPr>
        <xdr:cNvPr id="894" name="/xl/media/image395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848</xdr:row>
      <xdr:rowOff>428625</xdr:rowOff>
    </xdr:from>
    <xdr:ext cx="1438275" cy="1438275"/>
    <xdr:pic>
      <xdr:nvPicPr>
        <xdr:cNvPr id="895" name="/xl/media/image4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850</xdr:row>
      <xdr:rowOff>9525</xdr:rowOff>
    </xdr:from>
    <xdr:ext cx="571500" cy="571500"/>
    <xdr:pic>
      <xdr:nvPicPr>
        <xdr:cNvPr id="896" name="/xl/media/image39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850</xdr:row>
      <xdr:rowOff>9525</xdr:rowOff>
    </xdr:from>
    <xdr:ext cx="571500" cy="571500"/>
    <xdr:pic>
      <xdr:nvPicPr>
        <xdr:cNvPr id="897" name="/xl/media/image394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850</xdr:row>
      <xdr:rowOff>9525</xdr:rowOff>
    </xdr:from>
    <xdr:ext cx="571500" cy="571500"/>
    <xdr:pic>
      <xdr:nvPicPr>
        <xdr:cNvPr id="898" name="/xl/media/image395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855</xdr:row>
      <xdr:rowOff>428625</xdr:rowOff>
    </xdr:from>
    <xdr:ext cx="1438275" cy="1438275"/>
    <xdr:pic>
      <xdr:nvPicPr>
        <xdr:cNvPr id="899" name="/xl/media/image414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857</xdr:row>
      <xdr:rowOff>9525</xdr:rowOff>
    </xdr:from>
    <xdr:ext cx="571500" cy="571500"/>
    <xdr:pic>
      <xdr:nvPicPr>
        <xdr:cNvPr id="900" name="/xl/media/image39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857</xdr:row>
      <xdr:rowOff>9525</xdr:rowOff>
    </xdr:from>
    <xdr:ext cx="571500" cy="571500"/>
    <xdr:pic>
      <xdr:nvPicPr>
        <xdr:cNvPr id="901" name="/xl/media/image394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857</xdr:row>
      <xdr:rowOff>9525</xdr:rowOff>
    </xdr:from>
    <xdr:ext cx="571500" cy="571500"/>
    <xdr:pic>
      <xdr:nvPicPr>
        <xdr:cNvPr id="902" name="/xl/media/image395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862</xdr:row>
      <xdr:rowOff>428625</xdr:rowOff>
    </xdr:from>
    <xdr:ext cx="1438275" cy="1438275"/>
    <xdr:pic>
      <xdr:nvPicPr>
        <xdr:cNvPr id="903" name="/xl/media/image404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864</xdr:row>
      <xdr:rowOff>9525</xdr:rowOff>
    </xdr:from>
    <xdr:ext cx="571500" cy="571500"/>
    <xdr:pic>
      <xdr:nvPicPr>
        <xdr:cNvPr id="904" name="/xl/media/image39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864</xdr:row>
      <xdr:rowOff>9525</xdr:rowOff>
    </xdr:from>
    <xdr:ext cx="571500" cy="571500"/>
    <xdr:pic>
      <xdr:nvPicPr>
        <xdr:cNvPr id="905" name="/xl/media/image394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864</xdr:row>
      <xdr:rowOff>9525</xdr:rowOff>
    </xdr:from>
    <xdr:ext cx="571500" cy="571500"/>
    <xdr:pic>
      <xdr:nvPicPr>
        <xdr:cNvPr id="906" name="/xl/media/image395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869</xdr:row>
      <xdr:rowOff>428625</xdr:rowOff>
    </xdr:from>
    <xdr:ext cx="1438275" cy="1438275"/>
    <xdr:pic>
      <xdr:nvPicPr>
        <xdr:cNvPr id="907" name="/xl/media/image415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871</xdr:row>
      <xdr:rowOff>9525</xdr:rowOff>
    </xdr:from>
    <xdr:ext cx="571500" cy="571500"/>
    <xdr:pic>
      <xdr:nvPicPr>
        <xdr:cNvPr id="908" name="/xl/media/image39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871</xdr:row>
      <xdr:rowOff>9525</xdr:rowOff>
    </xdr:from>
    <xdr:ext cx="571500" cy="571500"/>
    <xdr:pic>
      <xdr:nvPicPr>
        <xdr:cNvPr id="909" name="/xl/media/image394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871</xdr:row>
      <xdr:rowOff>9525</xdr:rowOff>
    </xdr:from>
    <xdr:ext cx="571500" cy="571500"/>
    <xdr:pic>
      <xdr:nvPicPr>
        <xdr:cNvPr id="910" name="/xl/media/image395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876</xdr:row>
      <xdr:rowOff>428625</xdr:rowOff>
    </xdr:from>
    <xdr:ext cx="1438275" cy="1438275"/>
    <xdr:pic>
      <xdr:nvPicPr>
        <xdr:cNvPr id="911" name="/xl/media/image416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878</xdr:row>
      <xdr:rowOff>9525</xdr:rowOff>
    </xdr:from>
    <xdr:ext cx="571500" cy="571500"/>
    <xdr:pic>
      <xdr:nvPicPr>
        <xdr:cNvPr id="912" name="/xl/media/image39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878</xdr:row>
      <xdr:rowOff>9525</xdr:rowOff>
    </xdr:from>
    <xdr:ext cx="571500" cy="571500"/>
    <xdr:pic>
      <xdr:nvPicPr>
        <xdr:cNvPr id="913" name="/xl/media/image394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878</xdr:row>
      <xdr:rowOff>9525</xdr:rowOff>
    </xdr:from>
    <xdr:ext cx="571500" cy="571500"/>
    <xdr:pic>
      <xdr:nvPicPr>
        <xdr:cNvPr id="914" name="/xl/media/image395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883</xdr:row>
      <xdr:rowOff>428625</xdr:rowOff>
    </xdr:from>
    <xdr:ext cx="1438275" cy="1438275"/>
    <xdr:pic>
      <xdr:nvPicPr>
        <xdr:cNvPr id="915" name="/xl/media/image417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885</xdr:row>
      <xdr:rowOff>9525</xdr:rowOff>
    </xdr:from>
    <xdr:ext cx="571500" cy="571500"/>
    <xdr:pic>
      <xdr:nvPicPr>
        <xdr:cNvPr id="916" name="/xl/media/image39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885</xdr:row>
      <xdr:rowOff>9525</xdr:rowOff>
    </xdr:from>
    <xdr:ext cx="571500" cy="571500"/>
    <xdr:pic>
      <xdr:nvPicPr>
        <xdr:cNvPr id="917" name="/xl/media/image394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885</xdr:row>
      <xdr:rowOff>9525</xdr:rowOff>
    </xdr:from>
    <xdr:ext cx="571500" cy="571500"/>
    <xdr:pic>
      <xdr:nvPicPr>
        <xdr:cNvPr id="918" name="/xl/media/image395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890</xdr:row>
      <xdr:rowOff>428625</xdr:rowOff>
    </xdr:from>
    <xdr:ext cx="1438275" cy="1438275"/>
    <xdr:pic>
      <xdr:nvPicPr>
        <xdr:cNvPr id="919" name="/xl/media/image418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892</xdr:row>
      <xdr:rowOff>9525</xdr:rowOff>
    </xdr:from>
    <xdr:ext cx="571500" cy="571500"/>
    <xdr:pic>
      <xdr:nvPicPr>
        <xdr:cNvPr id="920" name="/xl/media/image39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892</xdr:row>
      <xdr:rowOff>9525</xdr:rowOff>
    </xdr:from>
    <xdr:ext cx="571500" cy="571500"/>
    <xdr:pic>
      <xdr:nvPicPr>
        <xdr:cNvPr id="921" name="/xl/media/image394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892</xdr:row>
      <xdr:rowOff>9525</xdr:rowOff>
    </xdr:from>
    <xdr:ext cx="571500" cy="571500"/>
    <xdr:pic>
      <xdr:nvPicPr>
        <xdr:cNvPr id="922" name="/xl/media/image395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897</xdr:row>
      <xdr:rowOff>428625</xdr:rowOff>
    </xdr:from>
    <xdr:ext cx="1438275" cy="1438275"/>
    <xdr:pic>
      <xdr:nvPicPr>
        <xdr:cNvPr id="923" name="/xl/media/image406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0</xdr:colOff>
      <xdr:row>898</xdr:row>
      <xdr:rowOff>19050</xdr:rowOff>
    </xdr:from>
    <xdr:ext cx="647700" cy="647700"/>
    <xdr:pic>
      <xdr:nvPicPr>
        <xdr:cNvPr id="924" name="/xl/media/image407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899</xdr:row>
      <xdr:rowOff>9525</xdr:rowOff>
    </xdr:from>
    <xdr:ext cx="571500" cy="571500"/>
    <xdr:pic>
      <xdr:nvPicPr>
        <xdr:cNvPr id="925" name="/xl/media/image39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899</xdr:row>
      <xdr:rowOff>9525</xdr:rowOff>
    </xdr:from>
    <xdr:ext cx="571500" cy="571500"/>
    <xdr:pic>
      <xdr:nvPicPr>
        <xdr:cNvPr id="926" name="/xl/media/image394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19050</xdr:colOff>
      <xdr:row>899</xdr:row>
      <xdr:rowOff>9525</xdr:rowOff>
    </xdr:from>
    <xdr:ext cx="571500" cy="571500"/>
    <xdr:pic>
      <xdr:nvPicPr>
        <xdr:cNvPr id="927" name="/xl/media/image395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19050</xdr:colOff>
      <xdr:row>899</xdr:row>
      <xdr:rowOff>9525</xdr:rowOff>
    </xdr:from>
    <xdr:ext cx="571500" cy="571500"/>
    <xdr:pic>
      <xdr:nvPicPr>
        <xdr:cNvPr id="928" name="/xl/media/image39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9</xdr:col>
      <xdr:colOff>19050</xdr:colOff>
      <xdr:row>899</xdr:row>
      <xdr:rowOff>9525</xdr:rowOff>
    </xdr:from>
    <xdr:ext cx="571500" cy="571500"/>
    <xdr:pic>
      <xdr:nvPicPr>
        <xdr:cNvPr id="929" name="/xl/media/image394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10</xdr:col>
      <xdr:colOff>19050</xdr:colOff>
      <xdr:row>899</xdr:row>
      <xdr:rowOff>9525</xdr:rowOff>
    </xdr:from>
    <xdr:ext cx="571500" cy="571500"/>
    <xdr:pic>
      <xdr:nvPicPr>
        <xdr:cNvPr id="930" name="/xl/media/image395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904</xdr:row>
      <xdr:rowOff>428625</xdr:rowOff>
    </xdr:from>
    <xdr:ext cx="1438275" cy="1438275"/>
    <xdr:pic>
      <xdr:nvPicPr>
        <xdr:cNvPr id="931" name="/xl/media/image419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906</xdr:row>
      <xdr:rowOff>9525</xdr:rowOff>
    </xdr:from>
    <xdr:ext cx="571500" cy="571500"/>
    <xdr:pic>
      <xdr:nvPicPr>
        <xdr:cNvPr id="932" name="/xl/media/image394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911</xdr:row>
      <xdr:rowOff>428625</xdr:rowOff>
    </xdr:from>
    <xdr:ext cx="1438275" cy="1438275"/>
    <xdr:pic>
      <xdr:nvPicPr>
        <xdr:cNvPr id="933" name="/xl/media/image420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913</xdr:row>
      <xdr:rowOff>9525</xdr:rowOff>
    </xdr:from>
    <xdr:ext cx="571500" cy="571500"/>
    <xdr:pic>
      <xdr:nvPicPr>
        <xdr:cNvPr id="934" name="/xl/media/image394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913</xdr:row>
      <xdr:rowOff>9525</xdr:rowOff>
    </xdr:from>
    <xdr:ext cx="571500" cy="571500"/>
    <xdr:pic>
      <xdr:nvPicPr>
        <xdr:cNvPr id="935" name="/xl/media/image395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918</xdr:row>
      <xdr:rowOff>428625</xdr:rowOff>
    </xdr:from>
    <xdr:ext cx="1438275" cy="1438275"/>
    <xdr:pic>
      <xdr:nvPicPr>
        <xdr:cNvPr id="936" name="/xl/media/image421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920</xdr:row>
      <xdr:rowOff>9525</xdr:rowOff>
    </xdr:from>
    <xdr:ext cx="571500" cy="571500"/>
    <xdr:pic>
      <xdr:nvPicPr>
        <xdr:cNvPr id="937" name="/xl/media/image394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920</xdr:row>
      <xdr:rowOff>9525</xdr:rowOff>
    </xdr:from>
    <xdr:ext cx="571500" cy="571500"/>
    <xdr:pic>
      <xdr:nvPicPr>
        <xdr:cNvPr id="938" name="/xl/media/image395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925</xdr:row>
      <xdr:rowOff>428625</xdr:rowOff>
    </xdr:from>
    <xdr:ext cx="1438275" cy="1438275"/>
    <xdr:pic>
      <xdr:nvPicPr>
        <xdr:cNvPr id="939" name="/xl/media/image422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927</xdr:row>
      <xdr:rowOff>9525</xdr:rowOff>
    </xdr:from>
    <xdr:ext cx="571500" cy="571500"/>
    <xdr:pic>
      <xdr:nvPicPr>
        <xdr:cNvPr id="940" name="/xl/media/image394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927</xdr:row>
      <xdr:rowOff>9525</xdr:rowOff>
    </xdr:from>
    <xdr:ext cx="571500" cy="571500"/>
    <xdr:pic>
      <xdr:nvPicPr>
        <xdr:cNvPr id="941" name="/xl/media/image395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932</xdr:row>
      <xdr:rowOff>428625</xdr:rowOff>
    </xdr:from>
    <xdr:ext cx="1438275" cy="1438275"/>
    <xdr:pic>
      <xdr:nvPicPr>
        <xdr:cNvPr id="942" name="/xl/media/image42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934</xdr:row>
      <xdr:rowOff>9525</xdr:rowOff>
    </xdr:from>
    <xdr:ext cx="571500" cy="571500"/>
    <xdr:pic>
      <xdr:nvPicPr>
        <xdr:cNvPr id="943" name="/xl/media/image394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934</xdr:row>
      <xdr:rowOff>9525</xdr:rowOff>
    </xdr:from>
    <xdr:ext cx="571500" cy="571500"/>
    <xdr:pic>
      <xdr:nvPicPr>
        <xdr:cNvPr id="944" name="/xl/media/image395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939</xdr:row>
      <xdr:rowOff>428625</xdr:rowOff>
    </xdr:from>
    <xdr:ext cx="1438275" cy="1438275"/>
    <xdr:pic>
      <xdr:nvPicPr>
        <xdr:cNvPr id="945" name="/xl/media/image424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941</xdr:row>
      <xdr:rowOff>9525</xdr:rowOff>
    </xdr:from>
    <xdr:ext cx="571500" cy="571500"/>
    <xdr:pic>
      <xdr:nvPicPr>
        <xdr:cNvPr id="946" name="/xl/media/image394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941</xdr:row>
      <xdr:rowOff>9525</xdr:rowOff>
    </xdr:from>
    <xdr:ext cx="571500" cy="571500"/>
    <xdr:pic>
      <xdr:nvPicPr>
        <xdr:cNvPr id="947" name="/xl/media/image395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946</xdr:row>
      <xdr:rowOff>428625</xdr:rowOff>
    </xdr:from>
    <xdr:ext cx="1438275" cy="1438275"/>
    <xdr:pic>
      <xdr:nvPicPr>
        <xdr:cNvPr id="948" name="/xl/media/image425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948</xdr:row>
      <xdr:rowOff>9525</xdr:rowOff>
    </xdr:from>
    <xdr:ext cx="571500" cy="571500"/>
    <xdr:pic>
      <xdr:nvPicPr>
        <xdr:cNvPr id="949" name="/xl/media/image426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948</xdr:row>
      <xdr:rowOff>9525</xdr:rowOff>
    </xdr:from>
    <xdr:ext cx="571500" cy="571500"/>
    <xdr:pic>
      <xdr:nvPicPr>
        <xdr:cNvPr id="950" name="/xl/media/image427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</xdr:col>
      <xdr:colOff>38100</xdr:colOff>
      <xdr:row>953</xdr:row>
      <xdr:rowOff>428625</xdr:rowOff>
    </xdr:from>
    <xdr:ext cx="1438275" cy="1438275"/>
    <xdr:pic>
      <xdr:nvPicPr>
        <xdr:cNvPr id="951" name="/xl/media/image428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19050</xdr:colOff>
      <xdr:row>955</xdr:row>
      <xdr:rowOff>9525</xdr:rowOff>
    </xdr:from>
    <xdr:ext cx="571500" cy="571500"/>
    <xdr:pic>
      <xdr:nvPicPr>
        <xdr:cNvPr id="952" name="/xl/media/image426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6</xdr:col>
      <xdr:colOff>19050</xdr:colOff>
      <xdr:row>955</xdr:row>
      <xdr:rowOff>9525</xdr:rowOff>
    </xdr:from>
    <xdr:ext cx="571500" cy="571500"/>
    <xdr:pic>
      <xdr:nvPicPr>
        <xdr:cNvPr id="953" name="/xl/media/image427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5</xdr:col>
      <xdr:colOff>12700</xdr:colOff>
      <xdr:row>1</xdr:row>
      <xdr:rowOff>12700</xdr:rowOff>
    </xdr:from>
    <xdr:to>
      <xdr:col>7</xdr:col>
      <xdr:colOff>673100</xdr:colOff>
      <xdr:row>1</xdr:row>
      <xdr:rowOff>168275</xdr:rowOff>
    </xdr:to>
    <xdr:sp macro="[0]!SelectBarterOffer" textlink="">
      <xdr:nvSpPr>
        <xdr:cNvPr id="1526" name="BarterBtn_4_2_1" descr="8|2|1">
          <a:extLst>
            <a:ext uri="{FF2B5EF4-FFF2-40B4-BE49-F238E27FC236}">
              <a16:creationId xmlns:a16="http://schemas.microsoft.com/office/drawing/2014/main" id="{7F64BF23-EE10-61DD-7C76-DA2F1F53D05B}"/>
            </a:ext>
          </a:extLst>
        </xdr:cNvPr>
        <xdr:cNvSpPr/>
      </xdr:nvSpPr>
      <xdr:spPr>
        <a:xfrm>
          <a:off x="5956300" y="365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</xdr:row>
      <xdr:rowOff>12700</xdr:rowOff>
    </xdr:from>
    <xdr:to>
      <xdr:col>7</xdr:col>
      <xdr:colOff>673100</xdr:colOff>
      <xdr:row>8</xdr:row>
      <xdr:rowOff>168275</xdr:rowOff>
    </xdr:to>
    <xdr:sp macro="[0]!SelectBarterOffer" textlink="">
      <xdr:nvSpPr>
        <xdr:cNvPr id="1527" name="BarterBtn_4_9_1" descr="8|9|1">
          <a:extLst>
            <a:ext uri="{FF2B5EF4-FFF2-40B4-BE49-F238E27FC236}">
              <a16:creationId xmlns:a16="http://schemas.microsoft.com/office/drawing/2014/main" id="{349BA980-28FA-41E0-82E9-E7EADA7442E3}"/>
            </a:ext>
          </a:extLst>
        </xdr:cNvPr>
        <xdr:cNvSpPr/>
      </xdr:nvSpPr>
      <xdr:spPr>
        <a:xfrm>
          <a:off x="5956300" y="3117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15</xdr:row>
      <xdr:rowOff>12700</xdr:rowOff>
    </xdr:from>
    <xdr:to>
      <xdr:col>7</xdr:col>
      <xdr:colOff>673100</xdr:colOff>
      <xdr:row>15</xdr:row>
      <xdr:rowOff>168275</xdr:rowOff>
    </xdr:to>
    <xdr:sp macro="[0]!SelectBarterOffer" textlink="">
      <xdr:nvSpPr>
        <xdr:cNvPr id="1528" name="BarterBtn_4_16_1" descr="8|16|1">
          <a:extLst>
            <a:ext uri="{FF2B5EF4-FFF2-40B4-BE49-F238E27FC236}">
              <a16:creationId xmlns:a16="http://schemas.microsoft.com/office/drawing/2014/main" id="{0820BCD8-32E6-EC12-FEB1-962669E3E17D}"/>
            </a:ext>
          </a:extLst>
        </xdr:cNvPr>
        <xdr:cNvSpPr/>
      </xdr:nvSpPr>
      <xdr:spPr>
        <a:xfrm>
          <a:off x="5956300" y="5870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22</xdr:row>
      <xdr:rowOff>12700</xdr:rowOff>
    </xdr:from>
    <xdr:to>
      <xdr:col>7</xdr:col>
      <xdr:colOff>673100</xdr:colOff>
      <xdr:row>22</xdr:row>
      <xdr:rowOff>168275</xdr:rowOff>
    </xdr:to>
    <xdr:sp macro="[0]!SelectBarterOffer" textlink="">
      <xdr:nvSpPr>
        <xdr:cNvPr id="1529" name="BarterBtn_4_23_1" descr="8|23|1">
          <a:extLst>
            <a:ext uri="{FF2B5EF4-FFF2-40B4-BE49-F238E27FC236}">
              <a16:creationId xmlns:a16="http://schemas.microsoft.com/office/drawing/2014/main" id="{5AB42DE4-F9DD-CDD6-4191-92AEF998B74E}"/>
            </a:ext>
          </a:extLst>
        </xdr:cNvPr>
        <xdr:cNvSpPr/>
      </xdr:nvSpPr>
      <xdr:spPr>
        <a:xfrm>
          <a:off x="5956300" y="8623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29</xdr:row>
      <xdr:rowOff>12700</xdr:rowOff>
    </xdr:from>
    <xdr:to>
      <xdr:col>7</xdr:col>
      <xdr:colOff>673100</xdr:colOff>
      <xdr:row>29</xdr:row>
      <xdr:rowOff>168275</xdr:rowOff>
    </xdr:to>
    <xdr:sp macro="[0]!SelectBarterOffer" textlink="">
      <xdr:nvSpPr>
        <xdr:cNvPr id="1530" name="BarterBtn_4_30_1" descr="8|30|1">
          <a:extLst>
            <a:ext uri="{FF2B5EF4-FFF2-40B4-BE49-F238E27FC236}">
              <a16:creationId xmlns:a16="http://schemas.microsoft.com/office/drawing/2014/main" id="{E2DE8E4D-5E17-39B5-16EF-4F816A7CCBDF}"/>
            </a:ext>
          </a:extLst>
        </xdr:cNvPr>
        <xdr:cNvSpPr/>
      </xdr:nvSpPr>
      <xdr:spPr>
        <a:xfrm>
          <a:off x="5956300" y="11376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</xdr:row>
      <xdr:rowOff>12700</xdr:rowOff>
    </xdr:from>
    <xdr:to>
      <xdr:col>7</xdr:col>
      <xdr:colOff>673100</xdr:colOff>
      <xdr:row>36</xdr:row>
      <xdr:rowOff>168275</xdr:rowOff>
    </xdr:to>
    <xdr:sp macro="[0]!SelectBarterOffer" textlink="">
      <xdr:nvSpPr>
        <xdr:cNvPr id="1531" name="BarterBtn_4_37_1" descr="8|37|1">
          <a:extLst>
            <a:ext uri="{FF2B5EF4-FFF2-40B4-BE49-F238E27FC236}">
              <a16:creationId xmlns:a16="http://schemas.microsoft.com/office/drawing/2014/main" id="{46286B74-D19F-37F5-2FEB-06B8680638B4}"/>
            </a:ext>
          </a:extLst>
        </xdr:cNvPr>
        <xdr:cNvSpPr/>
      </xdr:nvSpPr>
      <xdr:spPr>
        <a:xfrm>
          <a:off x="5956300" y="14128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</xdr:row>
      <xdr:rowOff>12700</xdr:rowOff>
    </xdr:from>
    <xdr:to>
      <xdr:col>7</xdr:col>
      <xdr:colOff>673100</xdr:colOff>
      <xdr:row>43</xdr:row>
      <xdr:rowOff>168275</xdr:rowOff>
    </xdr:to>
    <xdr:sp macro="[0]!SelectBarterOffer" textlink="">
      <xdr:nvSpPr>
        <xdr:cNvPr id="1532" name="BarterBtn_4_44_1" descr="8|44|1">
          <a:extLst>
            <a:ext uri="{FF2B5EF4-FFF2-40B4-BE49-F238E27FC236}">
              <a16:creationId xmlns:a16="http://schemas.microsoft.com/office/drawing/2014/main" id="{0A00256A-4701-4F1B-4A99-A954CC941F8D}"/>
            </a:ext>
          </a:extLst>
        </xdr:cNvPr>
        <xdr:cNvSpPr/>
      </xdr:nvSpPr>
      <xdr:spPr>
        <a:xfrm>
          <a:off x="5956300" y="16881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</xdr:row>
      <xdr:rowOff>12700</xdr:rowOff>
    </xdr:from>
    <xdr:to>
      <xdr:col>7</xdr:col>
      <xdr:colOff>673100</xdr:colOff>
      <xdr:row>50</xdr:row>
      <xdr:rowOff>168275</xdr:rowOff>
    </xdr:to>
    <xdr:sp macro="[0]!SelectBarterOffer" textlink="">
      <xdr:nvSpPr>
        <xdr:cNvPr id="1533" name="BarterBtn_4_51_1" descr="8|51|1">
          <a:extLst>
            <a:ext uri="{FF2B5EF4-FFF2-40B4-BE49-F238E27FC236}">
              <a16:creationId xmlns:a16="http://schemas.microsoft.com/office/drawing/2014/main" id="{6440F65C-5E41-4727-E4C3-32CE7DC4D132}"/>
            </a:ext>
          </a:extLst>
        </xdr:cNvPr>
        <xdr:cNvSpPr/>
      </xdr:nvSpPr>
      <xdr:spPr>
        <a:xfrm>
          <a:off x="5956300" y="19634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57</xdr:row>
      <xdr:rowOff>12700</xdr:rowOff>
    </xdr:from>
    <xdr:to>
      <xdr:col>7</xdr:col>
      <xdr:colOff>673100</xdr:colOff>
      <xdr:row>57</xdr:row>
      <xdr:rowOff>168275</xdr:rowOff>
    </xdr:to>
    <xdr:sp macro="[0]!SelectBarterOffer" textlink="">
      <xdr:nvSpPr>
        <xdr:cNvPr id="1534" name="BarterBtn_4_58_1" descr="8|58|1">
          <a:extLst>
            <a:ext uri="{FF2B5EF4-FFF2-40B4-BE49-F238E27FC236}">
              <a16:creationId xmlns:a16="http://schemas.microsoft.com/office/drawing/2014/main" id="{0E93D399-4975-83DE-385C-3A94816BEF2F}"/>
            </a:ext>
          </a:extLst>
        </xdr:cNvPr>
        <xdr:cNvSpPr/>
      </xdr:nvSpPr>
      <xdr:spPr>
        <a:xfrm>
          <a:off x="59563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57</xdr:row>
      <xdr:rowOff>12700</xdr:rowOff>
    </xdr:from>
    <xdr:to>
      <xdr:col>10</xdr:col>
      <xdr:colOff>673100</xdr:colOff>
      <xdr:row>57</xdr:row>
      <xdr:rowOff>168275</xdr:rowOff>
    </xdr:to>
    <xdr:sp macro="[0]!SelectBarterOffer" textlink="">
      <xdr:nvSpPr>
        <xdr:cNvPr id="1535" name="BarterBtn_4_58_2" descr="8|58|2">
          <a:extLst>
            <a:ext uri="{FF2B5EF4-FFF2-40B4-BE49-F238E27FC236}">
              <a16:creationId xmlns:a16="http://schemas.microsoft.com/office/drawing/2014/main" id="{E24BF42A-0861-5D8F-7C82-6FF027C16770}"/>
            </a:ext>
          </a:extLst>
        </xdr:cNvPr>
        <xdr:cNvSpPr/>
      </xdr:nvSpPr>
      <xdr:spPr>
        <a:xfrm>
          <a:off x="8013700" y="22386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64</xdr:row>
      <xdr:rowOff>12700</xdr:rowOff>
    </xdr:from>
    <xdr:to>
      <xdr:col>7</xdr:col>
      <xdr:colOff>673100</xdr:colOff>
      <xdr:row>64</xdr:row>
      <xdr:rowOff>168275</xdr:rowOff>
    </xdr:to>
    <xdr:sp macro="[0]!SelectBarterOffer" textlink="">
      <xdr:nvSpPr>
        <xdr:cNvPr id="1160" name="BarterBtn_4_65_1" descr="8|65|1">
          <a:extLst>
            <a:ext uri="{FF2B5EF4-FFF2-40B4-BE49-F238E27FC236}">
              <a16:creationId xmlns:a16="http://schemas.microsoft.com/office/drawing/2014/main" id="{1A0B54D3-52DE-317F-8EFE-0875BBEFEA79}"/>
            </a:ext>
          </a:extLst>
        </xdr:cNvPr>
        <xdr:cNvSpPr/>
      </xdr:nvSpPr>
      <xdr:spPr>
        <a:xfrm>
          <a:off x="59563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64</xdr:row>
      <xdr:rowOff>12700</xdr:rowOff>
    </xdr:from>
    <xdr:to>
      <xdr:col>10</xdr:col>
      <xdr:colOff>673100</xdr:colOff>
      <xdr:row>64</xdr:row>
      <xdr:rowOff>168275</xdr:rowOff>
    </xdr:to>
    <xdr:sp macro="[0]!SelectBarterOffer" textlink="">
      <xdr:nvSpPr>
        <xdr:cNvPr id="1161" name="BarterBtn_4_65_2" descr="8|65|2">
          <a:extLst>
            <a:ext uri="{FF2B5EF4-FFF2-40B4-BE49-F238E27FC236}">
              <a16:creationId xmlns:a16="http://schemas.microsoft.com/office/drawing/2014/main" id="{ABA119BF-7B1D-1133-B8D7-CAB7E64D7DDB}"/>
            </a:ext>
          </a:extLst>
        </xdr:cNvPr>
        <xdr:cNvSpPr/>
      </xdr:nvSpPr>
      <xdr:spPr>
        <a:xfrm>
          <a:off x="8013700" y="25139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71</xdr:row>
      <xdr:rowOff>12700</xdr:rowOff>
    </xdr:from>
    <xdr:to>
      <xdr:col>7</xdr:col>
      <xdr:colOff>673100</xdr:colOff>
      <xdr:row>71</xdr:row>
      <xdr:rowOff>168275</xdr:rowOff>
    </xdr:to>
    <xdr:sp macro="[0]!SelectBarterOffer" textlink="">
      <xdr:nvSpPr>
        <xdr:cNvPr id="1162" name="BarterBtn_4_72_1" descr="8|72|1">
          <a:extLst>
            <a:ext uri="{FF2B5EF4-FFF2-40B4-BE49-F238E27FC236}">
              <a16:creationId xmlns:a16="http://schemas.microsoft.com/office/drawing/2014/main" id="{79153C73-CD89-3648-20C4-ECC76E8751F0}"/>
            </a:ext>
          </a:extLst>
        </xdr:cNvPr>
        <xdr:cNvSpPr/>
      </xdr:nvSpPr>
      <xdr:spPr>
        <a:xfrm>
          <a:off x="59563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71</xdr:row>
      <xdr:rowOff>12700</xdr:rowOff>
    </xdr:from>
    <xdr:to>
      <xdr:col>10</xdr:col>
      <xdr:colOff>673100</xdr:colOff>
      <xdr:row>71</xdr:row>
      <xdr:rowOff>168275</xdr:rowOff>
    </xdr:to>
    <xdr:sp macro="[0]!SelectBarterOffer" textlink="">
      <xdr:nvSpPr>
        <xdr:cNvPr id="1163" name="BarterBtn_4_72_2" descr="8|72|2">
          <a:extLst>
            <a:ext uri="{FF2B5EF4-FFF2-40B4-BE49-F238E27FC236}">
              <a16:creationId xmlns:a16="http://schemas.microsoft.com/office/drawing/2014/main" id="{B9CCB8CA-5CB0-CAE1-DF4A-F77E308F9BF0}"/>
            </a:ext>
          </a:extLst>
        </xdr:cNvPr>
        <xdr:cNvSpPr/>
      </xdr:nvSpPr>
      <xdr:spPr>
        <a:xfrm>
          <a:off x="8013700" y="27892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78</xdr:row>
      <xdr:rowOff>12700</xdr:rowOff>
    </xdr:from>
    <xdr:to>
      <xdr:col>7</xdr:col>
      <xdr:colOff>673100</xdr:colOff>
      <xdr:row>78</xdr:row>
      <xdr:rowOff>168275</xdr:rowOff>
    </xdr:to>
    <xdr:sp macro="[0]!SelectBarterOffer" textlink="">
      <xdr:nvSpPr>
        <xdr:cNvPr id="1164" name="BarterBtn_4_79_1" descr="8|79|1">
          <a:extLst>
            <a:ext uri="{FF2B5EF4-FFF2-40B4-BE49-F238E27FC236}">
              <a16:creationId xmlns:a16="http://schemas.microsoft.com/office/drawing/2014/main" id="{5F02DFB5-CE3B-D125-0C69-D5A890B1F903}"/>
            </a:ext>
          </a:extLst>
        </xdr:cNvPr>
        <xdr:cNvSpPr/>
      </xdr:nvSpPr>
      <xdr:spPr>
        <a:xfrm>
          <a:off x="59563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78</xdr:row>
      <xdr:rowOff>12700</xdr:rowOff>
    </xdr:from>
    <xdr:to>
      <xdr:col>10</xdr:col>
      <xdr:colOff>673100</xdr:colOff>
      <xdr:row>78</xdr:row>
      <xdr:rowOff>168275</xdr:rowOff>
    </xdr:to>
    <xdr:sp macro="[0]!SelectBarterOffer" textlink="">
      <xdr:nvSpPr>
        <xdr:cNvPr id="1165" name="BarterBtn_4_79_2" descr="8|79|2">
          <a:extLst>
            <a:ext uri="{FF2B5EF4-FFF2-40B4-BE49-F238E27FC236}">
              <a16:creationId xmlns:a16="http://schemas.microsoft.com/office/drawing/2014/main" id="{2BCEC0BD-8E5B-C6CE-7F2E-8A0F7FBFDE47}"/>
            </a:ext>
          </a:extLst>
        </xdr:cNvPr>
        <xdr:cNvSpPr/>
      </xdr:nvSpPr>
      <xdr:spPr>
        <a:xfrm>
          <a:off x="8013700" y="30645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85</xdr:row>
      <xdr:rowOff>12700</xdr:rowOff>
    </xdr:from>
    <xdr:to>
      <xdr:col>7</xdr:col>
      <xdr:colOff>673100</xdr:colOff>
      <xdr:row>85</xdr:row>
      <xdr:rowOff>168275</xdr:rowOff>
    </xdr:to>
    <xdr:sp macro="[0]!SelectBarterOffer" textlink="">
      <xdr:nvSpPr>
        <xdr:cNvPr id="1166" name="BarterBtn_4_86_1" descr="8|86|1">
          <a:extLst>
            <a:ext uri="{FF2B5EF4-FFF2-40B4-BE49-F238E27FC236}">
              <a16:creationId xmlns:a16="http://schemas.microsoft.com/office/drawing/2014/main" id="{01264642-1CF9-075E-BA8E-C13A1B115FE0}"/>
            </a:ext>
          </a:extLst>
        </xdr:cNvPr>
        <xdr:cNvSpPr/>
      </xdr:nvSpPr>
      <xdr:spPr>
        <a:xfrm>
          <a:off x="59563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85</xdr:row>
      <xdr:rowOff>12700</xdr:rowOff>
    </xdr:from>
    <xdr:to>
      <xdr:col>10</xdr:col>
      <xdr:colOff>673100</xdr:colOff>
      <xdr:row>85</xdr:row>
      <xdr:rowOff>168275</xdr:rowOff>
    </xdr:to>
    <xdr:sp macro="[0]!SelectBarterOffer" textlink="">
      <xdr:nvSpPr>
        <xdr:cNvPr id="1167" name="BarterBtn_4_86_2" descr="8|86|2">
          <a:extLst>
            <a:ext uri="{FF2B5EF4-FFF2-40B4-BE49-F238E27FC236}">
              <a16:creationId xmlns:a16="http://schemas.microsoft.com/office/drawing/2014/main" id="{C1188011-7475-93BA-6DEE-F6C206DF00EA}"/>
            </a:ext>
          </a:extLst>
        </xdr:cNvPr>
        <xdr:cNvSpPr/>
      </xdr:nvSpPr>
      <xdr:spPr>
        <a:xfrm>
          <a:off x="8013700" y="33397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92</xdr:row>
      <xdr:rowOff>12700</xdr:rowOff>
    </xdr:from>
    <xdr:to>
      <xdr:col>7</xdr:col>
      <xdr:colOff>673100</xdr:colOff>
      <xdr:row>92</xdr:row>
      <xdr:rowOff>168275</xdr:rowOff>
    </xdr:to>
    <xdr:sp macro="[0]!SelectBarterOffer" textlink="">
      <xdr:nvSpPr>
        <xdr:cNvPr id="1168" name="BarterBtn_4_93_1" descr="8|93|1">
          <a:extLst>
            <a:ext uri="{FF2B5EF4-FFF2-40B4-BE49-F238E27FC236}">
              <a16:creationId xmlns:a16="http://schemas.microsoft.com/office/drawing/2014/main" id="{F6CFAD0F-8BEB-3DBB-0167-6940C3B742B7}"/>
            </a:ext>
          </a:extLst>
        </xdr:cNvPr>
        <xdr:cNvSpPr/>
      </xdr:nvSpPr>
      <xdr:spPr>
        <a:xfrm>
          <a:off x="59563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92</xdr:row>
      <xdr:rowOff>12700</xdr:rowOff>
    </xdr:from>
    <xdr:to>
      <xdr:col>10</xdr:col>
      <xdr:colOff>673100</xdr:colOff>
      <xdr:row>92</xdr:row>
      <xdr:rowOff>168275</xdr:rowOff>
    </xdr:to>
    <xdr:sp macro="[0]!SelectBarterOffer" textlink="">
      <xdr:nvSpPr>
        <xdr:cNvPr id="1169" name="BarterBtn_4_93_2" descr="8|93|2">
          <a:extLst>
            <a:ext uri="{FF2B5EF4-FFF2-40B4-BE49-F238E27FC236}">
              <a16:creationId xmlns:a16="http://schemas.microsoft.com/office/drawing/2014/main" id="{AFBBC076-7086-F1EB-05FF-CE7C8378A25B}"/>
            </a:ext>
          </a:extLst>
        </xdr:cNvPr>
        <xdr:cNvSpPr/>
      </xdr:nvSpPr>
      <xdr:spPr>
        <a:xfrm>
          <a:off x="8013700" y="36150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99</xdr:row>
      <xdr:rowOff>12700</xdr:rowOff>
    </xdr:from>
    <xdr:to>
      <xdr:col>7</xdr:col>
      <xdr:colOff>673100</xdr:colOff>
      <xdr:row>99</xdr:row>
      <xdr:rowOff>168275</xdr:rowOff>
    </xdr:to>
    <xdr:sp macro="[0]!SelectBarterOffer" textlink="">
      <xdr:nvSpPr>
        <xdr:cNvPr id="1170" name="BarterBtn_4_100_1" descr="8|100|1">
          <a:extLst>
            <a:ext uri="{FF2B5EF4-FFF2-40B4-BE49-F238E27FC236}">
              <a16:creationId xmlns:a16="http://schemas.microsoft.com/office/drawing/2014/main" id="{665E953B-1E6A-8600-83AD-619C98166CDC}"/>
            </a:ext>
          </a:extLst>
        </xdr:cNvPr>
        <xdr:cNvSpPr/>
      </xdr:nvSpPr>
      <xdr:spPr>
        <a:xfrm>
          <a:off x="59563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99</xdr:row>
      <xdr:rowOff>12700</xdr:rowOff>
    </xdr:from>
    <xdr:to>
      <xdr:col>10</xdr:col>
      <xdr:colOff>673100</xdr:colOff>
      <xdr:row>99</xdr:row>
      <xdr:rowOff>168275</xdr:rowOff>
    </xdr:to>
    <xdr:sp macro="[0]!SelectBarterOffer" textlink="">
      <xdr:nvSpPr>
        <xdr:cNvPr id="1171" name="BarterBtn_4_100_2" descr="8|100|2">
          <a:extLst>
            <a:ext uri="{FF2B5EF4-FFF2-40B4-BE49-F238E27FC236}">
              <a16:creationId xmlns:a16="http://schemas.microsoft.com/office/drawing/2014/main" id="{07C16847-9C57-1F5C-C158-16ACE987FFD9}"/>
            </a:ext>
          </a:extLst>
        </xdr:cNvPr>
        <xdr:cNvSpPr/>
      </xdr:nvSpPr>
      <xdr:spPr>
        <a:xfrm>
          <a:off x="80137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99</xdr:row>
      <xdr:rowOff>12700</xdr:rowOff>
    </xdr:from>
    <xdr:to>
      <xdr:col>13</xdr:col>
      <xdr:colOff>673100</xdr:colOff>
      <xdr:row>99</xdr:row>
      <xdr:rowOff>168275</xdr:rowOff>
    </xdr:to>
    <xdr:sp macro="[0]!SelectBarterOffer" textlink="">
      <xdr:nvSpPr>
        <xdr:cNvPr id="1172" name="BarterBtn_4_100_3" descr="8|100|3">
          <a:extLst>
            <a:ext uri="{FF2B5EF4-FFF2-40B4-BE49-F238E27FC236}">
              <a16:creationId xmlns:a16="http://schemas.microsoft.com/office/drawing/2014/main" id="{61D4F75D-44DF-2C6D-EC2D-7D0D6B27B964}"/>
            </a:ext>
          </a:extLst>
        </xdr:cNvPr>
        <xdr:cNvSpPr/>
      </xdr:nvSpPr>
      <xdr:spPr>
        <a:xfrm>
          <a:off x="100711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14</xdr:col>
      <xdr:colOff>12700</xdr:colOff>
      <xdr:row>99</xdr:row>
      <xdr:rowOff>12700</xdr:rowOff>
    </xdr:from>
    <xdr:to>
      <xdr:col>16</xdr:col>
      <xdr:colOff>673100</xdr:colOff>
      <xdr:row>99</xdr:row>
      <xdr:rowOff>168275</xdr:rowOff>
    </xdr:to>
    <xdr:sp macro="[0]!SelectBarterOffer" textlink="">
      <xdr:nvSpPr>
        <xdr:cNvPr id="1173" name="BarterBtn_4_100_4" descr="8|100|4">
          <a:extLst>
            <a:ext uri="{FF2B5EF4-FFF2-40B4-BE49-F238E27FC236}">
              <a16:creationId xmlns:a16="http://schemas.microsoft.com/office/drawing/2014/main" id="{5D9FE6E9-BC14-63A1-20B2-49119395936F}"/>
            </a:ext>
          </a:extLst>
        </xdr:cNvPr>
        <xdr:cNvSpPr/>
      </xdr:nvSpPr>
      <xdr:spPr>
        <a:xfrm>
          <a:off x="12128500" y="38903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№4</a:t>
          </a:r>
        </a:p>
      </xdr:txBody>
    </xdr:sp>
    <xdr:clientData/>
  </xdr:twoCellAnchor>
  <xdr:twoCellAnchor>
    <xdr:from>
      <xdr:col>5</xdr:col>
      <xdr:colOff>12700</xdr:colOff>
      <xdr:row>106</xdr:row>
      <xdr:rowOff>12700</xdr:rowOff>
    </xdr:from>
    <xdr:to>
      <xdr:col>7</xdr:col>
      <xdr:colOff>673100</xdr:colOff>
      <xdr:row>106</xdr:row>
      <xdr:rowOff>168275</xdr:rowOff>
    </xdr:to>
    <xdr:sp macro="[0]!SelectBarterOffer" textlink="">
      <xdr:nvSpPr>
        <xdr:cNvPr id="1174" name="BarterBtn_4_107_1" descr="8|107|1">
          <a:extLst>
            <a:ext uri="{FF2B5EF4-FFF2-40B4-BE49-F238E27FC236}">
              <a16:creationId xmlns:a16="http://schemas.microsoft.com/office/drawing/2014/main" id="{AF06E904-4E97-04A1-66A8-CB719C36969A}"/>
            </a:ext>
          </a:extLst>
        </xdr:cNvPr>
        <xdr:cNvSpPr/>
      </xdr:nvSpPr>
      <xdr:spPr>
        <a:xfrm>
          <a:off x="59563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106</xdr:row>
      <xdr:rowOff>12700</xdr:rowOff>
    </xdr:from>
    <xdr:to>
      <xdr:col>10</xdr:col>
      <xdr:colOff>673100</xdr:colOff>
      <xdr:row>106</xdr:row>
      <xdr:rowOff>168275</xdr:rowOff>
    </xdr:to>
    <xdr:sp macro="[0]!SelectBarterOffer" textlink="">
      <xdr:nvSpPr>
        <xdr:cNvPr id="1175" name="BarterBtn_4_107_2" descr="8|107|2">
          <a:extLst>
            <a:ext uri="{FF2B5EF4-FFF2-40B4-BE49-F238E27FC236}">
              <a16:creationId xmlns:a16="http://schemas.microsoft.com/office/drawing/2014/main" id="{9D99FD9E-9E0B-392E-BC85-5F934D4B1E16}"/>
            </a:ext>
          </a:extLst>
        </xdr:cNvPr>
        <xdr:cNvSpPr/>
      </xdr:nvSpPr>
      <xdr:spPr>
        <a:xfrm>
          <a:off x="8013700" y="41656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113</xdr:row>
      <xdr:rowOff>12700</xdr:rowOff>
    </xdr:from>
    <xdr:to>
      <xdr:col>7</xdr:col>
      <xdr:colOff>673100</xdr:colOff>
      <xdr:row>113</xdr:row>
      <xdr:rowOff>168275</xdr:rowOff>
    </xdr:to>
    <xdr:sp macro="[0]!SelectBarterOffer" textlink="">
      <xdr:nvSpPr>
        <xdr:cNvPr id="1176" name="BarterBtn_4_114_1" descr="8|114|1">
          <a:extLst>
            <a:ext uri="{FF2B5EF4-FFF2-40B4-BE49-F238E27FC236}">
              <a16:creationId xmlns:a16="http://schemas.microsoft.com/office/drawing/2014/main" id="{63B74384-2D9B-E18E-2745-6E4F1CA8710B}"/>
            </a:ext>
          </a:extLst>
        </xdr:cNvPr>
        <xdr:cNvSpPr/>
      </xdr:nvSpPr>
      <xdr:spPr>
        <a:xfrm>
          <a:off x="5956300" y="44408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113</xdr:row>
      <xdr:rowOff>12700</xdr:rowOff>
    </xdr:from>
    <xdr:to>
      <xdr:col>10</xdr:col>
      <xdr:colOff>673100</xdr:colOff>
      <xdr:row>113</xdr:row>
      <xdr:rowOff>168275</xdr:rowOff>
    </xdr:to>
    <xdr:sp macro="[0]!SelectBarterOffer" textlink="">
      <xdr:nvSpPr>
        <xdr:cNvPr id="1177" name="BarterBtn_4_114_2" descr="8|114|2">
          <a:extLst>
            <a:ext uri="{FF2B5EF4-FFF2-40B4-BE49-F238E27FC236}">
              <a16:creationId xmlns:a16="http://schemas.microsoft.com/office/drawing/2014/main" id="{C0402412-E317-5990-4534-46B2DEAC6146}"/>
            </a:ext>
          </a:extLst>
        </xdr:cNvPr>
        <xdr:cNvSpPr/>
      </xdr:nvSpPr>
      <xdr:spPr>
        <a:xfrm>
          <a:off x="8013700" y="44408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120</xdr:row>
      <xdr:rowOff>12700</xdr:rowOff>
    </xdr:from>
    <xdr:to>
      <xdr:col>7</xdr:col>
      <xdr:colOff>673100</xdr:colOff>
      <xdr:row>120</xdr:row>
      <xdr:rowOff>168275</xdr:rowOff>
    </xdr:to>
    <xdr:sp macro="[0]!SelectBarterOffer" textlink="">
      <xdr:nvSpPr>
        <xdr:cNvPr id="1178" name="BarterBtn_4_121_1" descr="8|121|1">
          <a:extLst>
            <a:ext uri="{FF2B5EF4-FFF2-40B4-BE49-F238E27FC236}">
              <a16:creationId xmlns:a16="http://schemas.microsoft.com/office/drawing/2014/main" id="{9D04993D-EFA8-1024-AE4E-8875C4BCA1AC}"/>
            </a:ext>
          </a:extLst>
        </xdr:cNvPr>
        <xdr:cNvSpPr/>
      </xdr:nvSpPr>
      <xdr:spPr>
        <a:xfrm>
          <a:off x="5956300" y="47161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120</xdr:row>
      <xdr:rowOff>12700</xdr:rowOff>
    </xdr:from>
    <xdr:to>
      <xdr:col>10</xdr:col>
      <xdr:colOff>673100</xdr:colOff>
      <xdr:row>120</xdr:row>
      <xdr:rowOff>168275</xdr:rowOff>
    </xdr:to>
    <xdr:sp macro="[0]!SelectBarterOffer" textlink="">
      <xdr:nvSpPr>
        <xdr:cNvPr id="1179" name="BarterBtn_4_121_2" descr="8|121|2">
          <a:extLst>
            <a:ext uri="{FF2B5EF4-FFF2-40B4-BE49-F238E27FC236}">
              <a16:creationId xmlns:a16="http://schemas.microsoft.com/office/drawing/2014/main" id="{BF1D26C8-FAB9-86A5-2EAB-C23888AF31BB}"/>
            </a:ext>
          </a:extLst>
        </xdr:cNvPr>
        <xdr:cNvSpPr/>
      </xdr:nvSpPr>
      <xdr:spPr>
        <a:xfrm>
          <a:off x="8013700" y="47161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127</xdr:row>
      <xdr:rowOff>12700</xdr:rowOff>
    </xdr:from>
    <xdr:to>
      <xdr:col>7</xdr:col>
      <xdr:colOff>673100</xdr:colOff>
      <xdr:row>127</xdr:row>
      <xdr:rowOff>168275</xdr:rowOff>
    </xdr:to>
    <xdr:sp macro="[0]!SelectBarterOffer" textlink="">
      <xdr:nvSpPr>
        <xdr:cNvPr id="1180" name="BarterBtn_4_128_1" descr="8|128|1">
          <a:extLst>
            <a:ext uri="{FF2B5EF4-FFF2-40B4-BE49-F238E27FC236}">
              <a16:creationId xmlns:a16="http://schemas.microsoft.com/office/drawing/2014/main" id="{2FC94B6B-AFC1-526E-94D9-329D8B004908}"/>
            </a:ext>
          </a:extLst>
        </xdr:cNvPr>
        <xdr:cNvSpPr/>
      </xdr:nvSpPr>
      <xdr:spPr>
        <a:xfrm>
          <a:off x="5956300" y="49914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127</xdr:row>
      <xdr:rowOff>12700</xdr:rowOff>
    </xdr:from>
    <xdr:to>
      <xdr:col>10</xdr:col>
      <xdr:colOff>673100</xdr:colOff>
      <xdr:row>127</xdr:row>
      <xdr:rowOff>168275</xdr:rowOff>
    </xdr:to>
    <xdr:sp macro="[0]!SelectBarterOffer" textlink="">
      <xdr:nvSpPr>
        <xdr:cNvPr id="1181" name="BarterBtn_4_128_2" descr="8|128|2">
          <a:extLst>
            <a:ext uri="{FF2B5EF4-FFF2-40B4-BE49-F238E27FC236}">
              <a16:creationId xmlns:a16="http://schemas.microsoft.com/office/drawing/2014/main" id="{0F61BE37-A79F-E9EC-96CE-A98D7A6225DD}"/>
            </a:ext>
          </a:extLst>
        </xdr:cNvPr>
        <xdr:cNvSpPr/>
      </xdr:nvSpPr>
      <xdr:spPr>
        <a:xfrm>
          <a:off x="8013700" y="49914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134</xdr:row>
      <xdr:rowOff>12700</xdr:rowOff>
    </xdr:from>
    <xdr:to>
      <xdr:col>7</xdr:col>
      <xdr:colOff>673100</xdr:colOff>
      <xdr:row>134</xdr:row>
      <xdr:rowOff>168275</xdr:rowOff>
    </xdr:to>
    <xdr:sp macro="[0]!SelectBarterOffer" textlink="">
      <xdr:nvSpPr>
        <xdr:cNvPr id="1182" name="BarterBtn_4_135_1" descr="8|135|1">
          <a:extLst>
            <a:ext uri="{FF2B5EF4-FFF2-40B4-BE49-F238E27FC236}">
              <a16:creationId xmlns:a16="http://schemas.microsoft.com/office/drawing/2014/main" id="{7BCE55D5-17D3-6DF5-BBE1-4666E760447D}"/>
            </a:ext>
          </a:extLst>
        </xdr:cNvPr>
        <xdr:cNvSpPr/>
      </xdr:nvSpPr>
      <xdr:spPr>
        <a:xfrm>
          <a:off x="5956300" y="52666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134</xdr:row>
      <xdr:rowOff>12700</xdr:rowOff>
    </xdr:from>
    <xdr:to>
      <xdr:col>10</xdr:col>
      <xdr:colOff>673100</xdr:colOff>
      <xdr:row>134</xdr:row>
      <xdr:rowOff>168275</xdr:rowOff>
    </xdr:to>
    <xdr:sp macro="[0]!SelectBarterOffer" textlink="">
      <xdr:nvSpPr>
        <xdr:cNvPr id="1183" name="BarterBtn_4_135_2" descr="8|135|2">
          <a:extLst>
            <a:ext uri="{FF2B5EF4-FFF2-40B4-BE49-F238E27FC236}">
              <a16:creationId xmlns:a16="http://schemas.microsoft.com/office/drawing/2014/main" id="{AC3A94D2-0C82-9E1A-20FA-C1A9AED6E2A2}"/>
            </a:ext>
          </a:extLst>
        </xdr:cNvPr>
        <xdr:cNvSpPr/>
      </xdr:nvSpPr>
      <xdr:spPr>
        <a:xfrm>
          <a:off x="8013700" y="52666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141</xdr:row>
      <xdr:rowOff>12700</xdr:rowOff>
    </xdr:from>
    <xdr:to>
      <xdr:col>7</xdr:col>
      <xdr:colOff>673100</xdr:colOff>
      <xdr:row>141</xdr:row>
      <xdr:rowOff>168275</xdr:rowOff>
    </xdr:to>
    <xdr:sp macro="[0]!SelectBarterOffer" textlink="">
      <xdr:nvSpPr>
        <xdr:cNvPr id="1344" name="BarterBtn_4_142_1" descr="8|142|1">
          <a:extLst>
            <a:ext uri="{FF2B5EF4-FFF2-40B4-BE49-F238E27FC236}">
              <a16:creationId xmlns:a16="http://schemas.microsoft.com/office/drawing/2014/main" id="{44F0416D-F002-B9CB-DF93-E0590AE4354E}"/>
            </a:ext>
          </a:extLst>
        </xdr:cNvPr>
        <xdr:cNvSpPr/>
      </xdr:nvSpPr>
      <xdr:spPr>
        <a:xfrm>
          <a:off x="5956300" y="55419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141</xdr:row>
      <xdr:rowOff>12700</xdr:rowOff>
    </xdr:from>
    <xdr:to>
      <xdr:col>10</xdr:col>
      <xdr:colOff>673100</xdr:colOff>
      <xdr:row>141</xdr:row>
      <xdr:rowOff>168275</xdr:rowOff>
    </xdr:to>
    <xdr:sp macro="[0]!SelectBarterOffer" textlink="">
      <xdr:nvSpPr>
        <xdr:cNvPr id="1345" name="BarterBtn_4_142_2" descr="8|142|2">
          <a:extLst>
            <a:ext uri="{FF2B5EF4-FFF2-40B4-BE49-F238E27FC236}">
              <a16:creationId xmlns:a16="http://schemas.microsoft.com/office/drawing/2014/main" id="{C77E565D-6969-8D48-CF8F-270225AF3305}"/>
            </a:ext>
          </a:extLst>
        </xdr:cNvPr>
        <xdr:cNvSpPr/>
      </xdr:nvSpPr>
      <xdr:spPr>
        <a:xfrm>
          <a:off x="8013700" y="55419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148</xdr:row>
      <xdr:rowOff>12700</xdr:rowOff>
    </xdr:from>
    <xdr:to>
      <xdr:col>7</xdr:col>
      <xdr:colOff>673100</xdr:colOff>
      <xdr:row>148</xdr:row>
      <xdr:rowOff>168275</xdr:rowOff>
    </xdr:to>
    <xdr:sp macro="[0]!SelectBarterOffer" textlink="">
      <xdr:nvSpPr>
        <xdr:cNvPr id="1346" name="BarterBtn_4_149_1" descr="8|149|1">
          <a:extLst>
            <a:ext uri="{FF2B5EF4-FFF2-40B4-BE49-F238E27FC236}">
              <a16:creationId xmlns:a16="http://schemas.microsoft.com/office/drawing/2014/main" id="{40E8B0C6-80FB-9395-C892-C814B9134FC9}"/>
            </a:ext>
          </a:extLst>
        </xdr:cNvPr>
        <xdr:cNvSpPr/>
      </xdr:nvSpPr>
      <xdr:spPr>
        <a:xfrm>
          <a:off x="59563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148</xdr:row>
      <xdr:rowOff>12700</xdr:rowOff>
    </xdr:from>
    <xdr:to>
      <xdr:col>10</xdr:col>
      <xdr:colOff>673100</xdr:colOff>
      <xdr:row>148</xdr:row>
      <xdr:rowOff>168275</xdr:rowOff>
    </xdr:to>
    <xdr:sp macro="[0]!SelectBarterOffer" textlink="">
      <xdr:nvSpPr>
        <xdr:cNvPr id="1347" name="BarterBtn_4_149_2" descr="8|149|2">
          <a:extLst>
            <a:ext uri="{FF2B5EF4-FFF2-40B4-BE49-F238E27FC236}">
              <a16:creationId xmlns:a16="http://schemas.microsoft.com/office/drawing/2014/main" id="{A4B6EF33-2EA2-67D0-26F8-A8BDF4933006}"/>
            </a:ext>
          </a:extLst>
        </xdr:cNvPr>
        <xdr:cNvSpPr/>
      </xdr:nvSpPr>
      <xdr:spPr>
        <a:xfrm>
          <a:off x="8013700" y="58172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155</xdr:row>
      <xdr:rowOff>12700</xdr:rowOff>
    </xdr:from>
    <xdr:to>
      <xdr:col>7</xdr:col>
      <xdr:colOff>673100</xdr:colOff>
      <xdr:row>155</xdr:row>
      <xdr:rowOff>168275</xdr:rowOff>
    </xdr:to>
    <xdr:sp macro="[0]!SelectBarterOffer" textlink="">
      <xdr:nvSpPr>
        <xdr:cNvPr id="1348" name="BarterBtn_4_156_1" descr="8|156|1">
          <a:extLst>
            <a:ext uri="{FF2B5EF4-FFF2-40B4-BE49-F238E27FC236}">
              <a16:creationId xmlns:a16="http://schemas.microsoft.com/office/drawing/2014/main" id="{42509A40-D467-8F9F-F927-852D95842196}"/>
            </a:ext>
          </a:extLst>
        </xdr:cNvPr>
        <xdr:cNvSpPr/>
      </xdr:nvSpPr>
      <xdr:spPr>
        <a:xfrm>
          <a:off x="59563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155</xdr:row>
      <xdr:rowOff>12700</xdr:rowOff>
    </xdr:from>
    <xdr:to>
      <xdr:col>10</xdr:col>
      <xdr:colOff>673100</xdr:colOff>
      <xdr:row>155</xdr:row>
      <xdr:rowOff>168275</xdr:rowOff>
    </xdr:to>
    <xdr:sp macro="[0]!SelectBarterOffer" textlink="">
      <xdr:nvSpPr>
        <xdr:cNvPr id="1349" name="BarterBtn_4_156_2" descr="8|156|2">
          <a:extLst>
            <a:ext uri="{FF2B5EF4-FFF2-40B4-BE49-F238E27FC236}">
              <a16:creationId xmlns:a16="http://schemas.microsoft.com/office/drawing/2014/main" id="{2A55D22F-89F7-871F-0AD0-90D1E5D9D024}"/>
            </a:ext>
          </a:extLst>
        </xdr:cNvPr>
        <xdr:cNvSpPr/>
      </xdr:nvSpPr>
      <xdr:spPr>
        <a:xfrm>
          <a:off x="8013700" y="60925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162</xdr:row>
      <xdr:rowOff>12700</xdr:rowOff>
    </xdr:from>
    <xdr:to>
      <xdr:col>7</xdr:col>
      <xdr:colOff>673100</xdr:colOff>
      <xdr:row>162</xdr:row>
      <xdr:rowOff>168275</xdr:rowOff>
    </xdr:to>
    <xdr:sp macro="[0]!SelectBarterOffer" textlink="">
      <xdr:nvSpPr>
        <xdr:cNvPr id="1536" name="BarterBtn_4_163_1" descr="8|163|1">
          <a:extLst>
            <a:ext uri="{FF2B5EF4-FFF2-40B4-BE49-F238E27FC236}">
              <a16:creationId xmlns:a16="http://schemas.microsoft.com/office/drawing/2014/main" id="{F22F5523-6C7C-D725-E113-B974DF44FADF}"/>
            </a:ext>
          </a:extLst>
        </xdr:cNvPr>
        <xdr:cNvSpPr/>
      </xdr:nvSpPr>
      <xdr:spPr>
        <a:xfrm>
          <a:off x="59563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162</xdr:row>
      <xdr:rowOff>12700</xdr:rowOff>
    </xdr:from>
    <xdr:to>
      <xdr:col>10</xdr:col>
      <xdr:colOff>673100</xdr:colOff>
      <xdr:row>162</xdr:row>
      <xdr:rowOff>168275</xdr:rowOff>
    </xdr:to>
    <xdr:sp macro="[0]!SelectBarterOffer" textlink="">
      <xdr:nvSpPr>
        <xdr:cNvPr id="1537" name="BarterBtn_4_163_2" descr="8|163|2">
          <a:extLst>
            <a:ext uri="{FF2B5EF4-FFF2-40B4-BE49-F238E27FC236}">
              <a16:creationId xmlns:a16="http://schemas.microsoft.com/office/drawing/2014/main" id="{3CD84687-646D-0667-BC0D-F6F3AD84D70E}"/>
            </a:ext>
          </a:extLst>
        </xdr:cNvPr>
        <xdr:cNvSpPr/>
      </xdr:nvSpPr>
      <xdr:spPr>
        <a:xfrm>
          <a:off x="8013700" y="63677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169</xdr:row>
      <xdr:rowOff>12700</xdr:rowOff>
    </xdr:from>
    <xdr:to>
      <xdr:col>7</xdr:col>
      <xdr:colOff>673100</xdr:colOff>
      <xdr:row>169</xdr:row>
      <xdr:rowOff>168275</xdr:rowOff>
    </xdr:to>
    <xdr:sp macro="[0]!SelectBarterOffer" textlink="">
      <xdr:nvSpPr>
        <xdr:cNvPr id="1538" name="BarterBtn_4_170_1" descr="8|170|1">
          <a:extLst>
            <a:ext uri="{FF2B5EF4-FFF2-40B4-BE49-F238E27FC236}">
              <a16:creationId xmlns:a16="http://schemas.microsoft.com/office/drawing/2014/main" id="{9A537EF9-C1F9-AA62-B2CE-63635859C87C}"/>
            </a:ext>
          </a:extLst>
        </xdr:cNvPr>
        <xdr:cNvSpPr/>
      </xdr:nvSpPr>
      <xdr:spPr>
        <a:xfrm>
          <a:off x="59563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169</xdr:row>
      <xdr:rowOff>12700</xdr:rowOff>
    </xdr:from>
    <xdr:to>
      <xdr:col>10</xdr:col>
      <xdr:colOff>673100</xdr:colOff>
      <xdr:row>169</xdr:row>
      <xdr:rowOff>168275</xdr:rowOff>
    </xdr:to>
    <xdr:sp macro="[0]!SelectBarterOffer" textlink="">
      <xdr:nvSpPr>
        <xdr:cNvPr id="1539" name="BarterBtn_4_170_2" descr="8|170|2">
          <a:extLst>
            <a:ext uri="{FF2B5EF4-FFF2-40B4-BE49-F238E27FC236}">
              <a16:creationId xmlns:a16="http://schemas.microsoft.com/office/drawing/2014/main" id="{2C710E00-C97B-6A33-3130-BD57C0333B27}"/>
            </a:ext>
          </a:extLst>
        </xdr:cNvPr>
        <xdr:cNvSpPr/>
      </xdr:nvSpPr>
      <xdr:spPr>
        <a:xfrm>
          <a:off x="8013700" y="66430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176</xdr:row>
      <xdr:rowOff>12700</xdr:rowOff>
    </xdr:from>
    <xdr:to>
      <xdr:col>7</xdr:col>
      <xdr:colOff>673100</xdr:colOff>
      <xdr:row>176</xdr:row>
      <xdr:rowOff>168275</xdr:rowOff>
    </xdr:to>
    <xdr:sp macro="[0]!SelectBarterOffer" textlink="">
      <xdr:nvSpPr>
        <xdr:cNvPr id="1540" name="BarterBtn_4_177_1" descr="8|177|1">
          <a:extLst>
            <a:ext uri="{FF2B5EF4-FFF2-40B4-BE49-F238E27FC236}">
              <a16:creationId xmlns:a16="http://schemas.microsoft.com/office/drawing/2014/main" id="{9B26DCA6-599B-D5A2-C4DB-EE73D00D3E1B}"/>
            </a:ext>
          </a:extLst>
        </xdr:cNvPr>
        <xdr:cNvSpPr/>
      </xdr:nvSpPr>
      <xdr:spPr>
        <a:xfrm>
          <a:off x="59563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176</xdr:row>
      <xdr:rowOff>12700</xdr:rowOff>
    </xdr:from>
    <xdr:to>
      <xdr:col>10</xdr:col>
      <xdr:colOff>673100</xdr:colOff>
      <xdr:row>176</xdr:row>
      <xdr:rowOff>168275</xdr:rowOff>
    </xdr:to>
    <xdr:sp macro="[0]!SelectBarterOffer" textlink="">
      <xdr:nvSpPr>
        <xdr:cNvPr id="1541" name="BarterBtn_4_177_2" descr="8|177|2">
          <a:extLst>
            <a:ext uri="{FF2B5EF4-FFF2-40B4-BE49-F238E27FC236}">
              <a16:creationId xmlns:a16="http://schemas.microsoft.com/office/drawing/2014/main" id="{9B1F65B9-2C31-76AE-40D2-7FDCE017F7A6}"/>
            </a:ext>
          </a:extLst>
        </xdr:cNvPr>
        <xdr:cNvSpPr/>
      </xdr:nvSpPr>
      <xdr:spPr>
        <a:xfrm>
          <a:off x="8013700" y="69183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183</xdr:row>
      <xdr:rowOff>12700</xdr:rowOff>
    </xdr:from>
    <xdr:to>
      <xdr:col>7</xdr:col>
      <xdr:colOff>673100</xdr:colOff>
      <xdr:row>183</xdr:row>
      <xdr:rowOff>168275</xdr:rowOff>
    </xdr:to>
    <xdr:sp macro="[0]!SelectBarterOffer" textlink="">
      <xdr:nvSpPr>
        <xdr:cNvPr id="1542" name="BarterBtn_4_184_1" descr="8|184|1">
          <a:extLst>
            <a:ext uri="{FF2B5EF4-FFF2-40B4-BE49-F238E27FC236}">
              <a16:creationId xmlns:a16="http://schemas.microsoft.com/office/drawing/2014/main" id="{11F6E40A-B553-1421-657E-08D81D97FADA}"/>
            </a:ext>
          </a:extLst>
        </xdr:cNvPr>
        <xdr:cNvSpPr/>
      </xdr:nvSpPr>
      <xdr:spPr>
        <a:xfrm>
          <a:off x="59563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183</xdr:row>
      <xdr:rowOff>12700</xdr:rowOff>
    </xdr:from>
    <xdr:to>
      <xdr:col>10</xdr:col>
      <xdr:colOff>673100</xdr:colOff>
      <xdr:row>183</xdr:row>
      <xdr:rowOff>168275</xdr:rowOff>
    </xdr:to>
    <xdr:sp macro="[0]!SelectBarterOffer" textlink="">
      <xdr:nvSpPr>
        <xdr:cNvPr id="1543" name="BarterBtn_4_184_2" descr="8|184|2">
          <a:extLst>
            <a:ext uri="{FF2B5EF4-FFF2-40B4-BE49-F238E27FC236}">
              <a16:creationId xmlns:a16="http://schemas.microsoft.com/office/drawing/2014/main" id="{F07C2AAC-C270-5A41-DE05-97D0719BD906}"/>
            </a:ext>
          </a:extLst>
        </xdr:cNvPr>
        <xdr:cNvSpPr/>
      </xdr:nvSpPr>
      <xdr:spPr>
        <a:xfrm>
          <a:off x="8013700" y="71935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190</xdr:row>
      <xdr:rowOff>12700</xdr:rowOff>
    </xdr:from>
    <xdr:to>
      <xdr:col>7</xdr:col>
      <xdr:colOff>673100</xdr:colOff>
      <xdr:row>190</xdr:row>
      <xdr:rowOff>168275</xdr:rowOff>
    </xdr:to>
    <xdr:sp macro="[0]!SelectBarterOffer" textlink="">
      <xdr:nvSpPr>
        <xdr:cNvPr id="1544" name="BarterBtn_4_191_1" descr="8|191|1">
          <a:extLst>
            <a:ext uri="{FF2B5EF4-FFF2-40B4-BE49-F238E27FC236}">
              <a16:creationId xmlns:a16="http://schemas.microsoft.com/office/drawing/2014/main" id="{B460DB5B-2B64-8374-48BE-4C98BD427C95}"/>
            </a:ext>
          </a:extLst>
        </xdr:cNvPr>
        <xdr:cNvSpPr/>
      </xdr:nvSpPr>
      <xdr:spPr>
        <a:xfrm>
          <a:off x="59563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190</xdr:row>
      <xdr:rowOff>12700</xdr:rowOff>
    </xdr:from>
    <xdr:to>
      <xdr:col>10</xdr:col>
      <xdr:colOff>673100</xdr:colOff>
      <xdr:row>190</xdr:row>
      <xdr:rowOff>168275</xdr:rowOff>
    </xdr:to>
    <xdr:sp macro="[0]!SelectBarterOffer" textlink="">
      <xdr:nvSpPr>
        <xdr:cNvPr id="1545" name="BarterBtn_4_191_2" descr="8|191|2">
          <a:extLst>
            <a:ext uri="{FF2B5EF4-FFF2-40B4-BE49-F238E27FC236}">
              <a16:creationId xmlns:a16="http://schemas.microsoft.com/office/drawing/2014/main" id="{B7E10D03-12D5-6388-BCE3-E034DEA68376}"/>
            </a:ext>
          </a:extLst>
        </xdr:cNvPr>
        <xdr:cNvSpPr/>
      </xdr:nvSpPr>
      <xdr:spPr>
        <a:xfrm>
          <a:off x="8013700" y="74688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197</xdr:row>
      <xdr:rowOff>12700</xdr:rowOff>
    </xdr:from>
    <xdr:to>
      <xdr:col>7</xdr:col>
      <xdr:colOff>673100</xdr:colOff>
      <xdr:row>197</xdr:row>
      <xdr:rowOff>168275</xdr:rowOff>
    </xdr:to>
    <xdr:sp macro="[0]!SelectBarterOffer" textlink="">
      <xdr:nvSpPr>
        <xdr:cNvPr id="1546" name="BarterBtn_4_198_1" descr="8|198|1">
          <a:extLst>
            <a:ext uri="{FF2B5EF4-FFF2-40B4-BE49-F238E27FC236}">
              <a16:creationId xmlns:a16="http://schemas.microsoft.com/office/drawing/2014/main" id="{0D0C5CE3-349E-9C36-A5F2-8FB5B8C98C29}"/>
            </a:ext>
          </a:extLst>
        </xdr:cNvPr>
        <xdr:cNvSpPr/>
      </xdr:nvSpPr>
      <xdr:spPr>
        <a:xfrm>
          <a:off x="59563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197</xdr:row>
      <xdr:rowOff>12700</xdr:rowOff>
    </xdr:from>
    <xdr:to>
      <xdr:col>10</xdr:col>
      <xdr:colOff>673100</xdr:colOff>
      <xdr:row>197</xdr:row>
      <xdr:rowOff>168275</xdr:rowOff>
    </xdr:to>
    <xdr:sp macro="[0]!SelectBarterOffer" textlink="">
      <xdr:nvSpPr>
        <xdr:cNvPr id="1547" name="BarterBtn_4_198_2" descr="8|198|2">
          <a:extLst>
            <a:ext uri="{FF2B5EF4-FFF2-40B4-BE49-F238E27FC236}">
              <a16:creationId xmlns:a16="http://schemas.microsoft.com/office/drawing/2014/main" id="{BC8CCC28-F034-9339-0781-72F066834FA5}"/>
            </a:ext>
          </a:extLst>
        </xdr:cNvPr>
        <xdr:cNvSpPr/>
      </xdr:nvSpPr>
      <xdr:spPr>
        <a:xfrm>
          <a:off x="8013700" y="77441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204</xdr:row>
      <xdr:rowOff>12700</xdr:rowOff>
    </xdr:from>
    <xdr:to>
      <xdr:col>7</xdr:col>
      <xdr:colOff>673100</xdr:colOff>
      <xdr:row>204</xdr:row>
      <xdr:rowOff>168275</xdr:rowOff>
    </xdr:to>
    <xdr:sp macro="[0]!SelectBarterOffer" textlink="">
      <xdr:nvSpPr>
        <xdr:cNvPr id="1548" name="BarterBtn_4_205_1" descr="8|205|1">
          <a:extLst>
            <a:ext uri="{FF2B5EF4-FFF2-40B4-BE49-F238E27FC236}">
              <a16:creationId xmlns:a16="http://schemas.microsoft.com/office/drawing/2014/main" id="{2F94A463-98FE-9B69-7F4A-ACD5379B5250}"/>
            </a:ext>
          </a:extLst>
        </xdr:cNvPr>
        <xdr:cNvSpPr/>
      </xdr:nvSpPr>
      <xdr:spPr>
        <a:xfrm>
          <a:off x="59563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204</xdr:row>
      <xdr:rowOff>12700</xdr:rowOff>
    </xdr:from>
    <xdr:to>
      <xdr:col>10</xdr:col>
      <xdr:colOff>673100</xdr:colOff>
      <xdr:row>204</xdr:row>
      <xdr:rowOff>168275</xdr:rowOff>
    </xdr:to>
    <xdr:sp macro="[0]!SelectBarterOffer" textlink="">
      <xdr:nvSpPr>
        <xdr:cNvPr id="1549" name="BarterBtn_4_205_2" descr="8|205|2">
          <a:extLst>
            <a:ext uri="{FF2B5EF4-FFF2-40B4-BE49-F238E27FC236}">
              <a16:creationId xmlns:a16="http://schemas.microsoft.com/office/drawing/2014/main" id="{5826316C-8722-8410-73D4-D002A84D566A}"/>
            </a:ext>
          </a:extLst>
        </xdr:cNvPr>
        <xdr:cNvSpPr/>
      </xdr:nvSpPr>
      <xdr:spPr>
        <a:xfrm>
          <a:off x="8013700" y="80194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211</xdr:row>
      <xdr:rowOff>12700</xdr:rowOff>
    </xdr:from>
    <xdr:to>
      <xdr:col>7</xdr:col>
      <xdr:colOff>673100</xdr:colOff>
      <xdr:row>211</xdr:row>
      <xdr:rowOff>168275</xdr:rowOff>
    </xdr:to>
    <xdr:sp macro="[0]!SelectBarterOffer" textlink="">
      <xdr:nvSpPr>
        <xdr:cNvPr id="1550" name="BarterBtn_4_212_1" descr="8|212|1">
          <a:extLst>
            <a:ext uri="{FF2B5EF4-FFF2-40B4-BE49-F238E27FC236}">
              <a16:creationId xmlns:a16="http://schemas.microsoft.com/office/drawing/2014/main" id="{B86C4D6D-4F98-8447-8D27-803DCBD267FC}"/>
            </a:ext>
          </a:extLst>
        </xdr:cNvPr>
        <xdr:cNvSpPr/>
      </xdr:nvSpPr>
      <xdr:spPr>
        <a:xfrm>
          <a:off x="59563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211</xdr:row>
      <xdr:rowOff>12700</xdr:rowOff>
    </xdr:from>
    <xdr:to>
      <xdr:col>10</xdr:col>
      <xdr:colOff>673100</xdr:colOff>
      <xdr:row>211</xdr:row>
      <xdr:rowOff>168275</xdr:rowOff>
    </xdr:to>
    <xdr:sp macro="[0]!SelectBarterOffer" textlink="">
      <xdr:nvSpPr>
        <xdr:cNvPr id="1551" name="BarterBtn_4_212_2" descr="8|212|2">
          <a:extLst>
            <a:ext uri="{FF2B5EF4-FFF2-40B4-BE49-F238E27FC236}">
              <a16:creationId xmlns:a16="http://schemas.microsoft.com/office/drawing/2014/main" id="{77FC56BD-CEC8-9EBB-498B-5A13379A36AD}"/>
            </a:ext>
          </a:extLst>
        </xdr:cNvPr>
        <xdr:cNvSpPr/>
      </xdr:nvSpPr>
      <xdr:spPr>
        <a:xfrm>
          <a:off x="8013700" y="82946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218</xdr:row>
      <xdr:rowOff>12700</xdr:rowOff>
    </xdr:from>
    <xdr:to>
      <xdr:col>7</xdr:col>
      <xdr:colOff>673100</xdr:colOff>
      <xdr:row>218</xdr:row>
      <xdr:rowOff>168275</xdr:rowOff>
    </xdr:to>
    <xdr:sp macro="[0]!SelectBarterOffer" textlink="">
      <xdr:nvSpPr>
        <xdr:cNvPr id="1552" name="BarterBtn_4_219_1" descr="8|219|1">
          <a:extLst>
            <a:ext uri="{FF2B5EF4-FFF2-40B4-BE49-F238E27FC236}">
              <a16:creationId xmlns:a16="http://schemas.microsoft.com/office/drawing/2014/main" id="{01872FC7-7F88-9FD4-7DEA-C64498BD5867}"/>
            </a:ext>
          </a:extLst>
        </xdr:cNvPr>
        <xdr:cNvSpPr/>
      </xdr:nvSpPr>
      <xdr:spPr>
        <a:xfrm>
          <a:off x="59563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218</xdr:row>
      <xdr:rowOff>12700</xdr:rowOff>
    </xdr:from>
    <xdr:to>
      <xdr:col>10</xdr:col>
      <xdr:colOff>673100</xdr:colOff>
      <xdr:row>218</xdr:row>
      <xdr:rowOff>168275</xdr:rowOff>
    </xdr:to>
    <xdr:sp macro="[0]!SelectBarterOffer" textlink="">
      <xdr:nvSpPr>
        <xdr:cNvPr id="1553" name="BarterBtn_4_219_2" descr="8|219|2">
          <a:extLst>
            <a:ext uri="{FF2B5EF4-FFF2-40B4-BE49-F238E27FC236}">
              <a16:creationId xmlns:a16="http://schemas.microsoft.com/office/drawing/2014/main" id="{364728EF-E052-75F4-A17C-38018EABF4EB}"/>
            </a:ext>
          </a:extLst>
        </xdr:cNvPr>
        <xdr:cNvSpPr/>
      </xdr:nvSpPr>
      <xdr:spPr>
        <a:xfrm>
          <a:off x="8013700" y="85699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225</xdr:row>
      <xdr:rowOff>12700</xdr:rowOff>
    </xdr:from>
    <xdr:to>
      <xdr:col>7</xdr:col>
      <xdr:colOff>673100</xdr:colOff>
      <xdr:row>225</xdr:row>
      <xdr:rowOff>168275</xdr:rowOff>
    </xdr:to>
    <xdr:sp macro="[0]!SelectBarterOffer" textlink="">
      <xdr:nvSpPr>
        <xdr:cNvPr id="1554" name="BarterBtn_4_226_1" descr="8|226|1">
          <a:extLst>
            <a:ext uri="{FF2B5EF4-FFF2-40B4-BE49-F238E27FC236}">
              <a16:creationId xmlns:a16="http://schemas.microsoft.com/office/drawing/2014/main" id="{58C0197B-ADD1-A667-51A3-C0352CCAF393}"/>
            </a:ext>
          </a:extLst>
        </xdr:cNvPr>
        <xdr:cNvSpPr/>
      </xdr:nvSpPr>
      <xdr:spPr>
        <a:xfrm>
          <a:off x="59563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225</xdr:row>
      <xdr:rowOff>12700</xdr:rowOff>
    </xdr:from>
    <xdr:to>
      <xdr:col>10</xdr:col>
      <xdr:colOff>673100</xdr:colOff>
      <xdr:row>225</xdr:row>
      <xdr:rowOff>168275</xdr:rowOff>
    </xdr:to>
    <xdr:sp macro="[0]!SelectBarterOffer" textlink="">
      <xdr:nvSpPr>
        <xdr:cNvPr id="1555" name="BarterBtn_4_226_2" descr="8|226|2">
          <a:extLst>
            <a:ext uri="{FF2B5EF4-FFF2-40B4-BE49-F238E27FC236}">
              <a16:creationId xmlns:a16="http://schemas.microsoft.com/office/drawing/2014/main" id="{EEA09DBA-FC2F-8B1D-A7D8-639A702B7D7C}"/>
            </a:ext>
          </a:extLst>
        </xdr:cNvPr>
        <xdr:cNvSpPr/>
      </xdr:nvSpPr>
      <xdr:spPr>
        <a:xfrm>
          <a:off x="8013700" y="88452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232</xdr:row>
      <xdr:rowOff>12700</xdr:rowOff>
    </xdr:from>
    <xdr:to>
      <xdr:col>7</xdr:col>
      <xdr:colOff>673100</xdr:colOff>
      <xdr:row>232</xdr:row>
      <xdr:rowOff>168275</xdr:rowOff>
    </xdr:to>
    <xdr:sp macro="[0]!SelectBarterOffer" textlink="">
      <xdr:nvSpPr>
        <xdr:cNvPr id="1556" name="BarterBtn_4_233_1" descr="8|233|1">
          <a:extLst>
            <a:ext uri="{FF2B5EF4-FFF2-40B4-BE49-F238E27FC236}">
              <a16:creationId xmlns:a16="http://schemas.microsoft.com/office/drawing/2014/main" id="{977BE0C7-059C-0B2B-65A2-A2B001F58E6F}"/>
            </a:ext>
          </a:extLst>
        </xdr:cNvPr>
        <xdr:cNvSpPr/>
      </xdr:nvSpPr>
      <xdr:spPr>
        <a:xfrm>
          <a:off x="59563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232</xdr:row>
      <xdr:rowOff>12700</xdr:rowOff>
    </xdr:from>
    <xdr:to>
      <xdr:col>10</xdr:col>
      <xdr:colOff>673100</xdr:colOff>
      <xdr:row>232</xdr:row>
      <xdr:rowOff>168275</xdr:rowOff>
    </xdr:to>
    <xdr:sp macro="[0]!SelectBarterOffer" textlink="">
      <xdr:nvSpPr>
        <xdr:cNvPr id="1557" name="BarterBtn_4_233_2" descr="8|233|2">
          <a:extLst>
            <a:ext uri="{FF2B5EF4-FFF2-40B4-BE49-F238E27FC236}">
              <a16:creationId xmlns:a16="http://schemas.microsoft.com/office/drawing/2014/main" id="{82F49475-392F-1DBF-F9F4-31738F826F8B}"/>
            </a:ext>
          </a:extLst>
        </xdr:cNvPr>
        <xdr:cNvSpPr/>
      </xdr:nvSpPr>
      <xdr:spPr>
        <a:xfrm>
          <a:off x="8013700" y="91205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239</xdr:row>
      <xdr:rowOff>12700</xdr:rowOff>
    </xdr:from>
    <xdr:to>
      <xdr:col>7</xdr:col>
      <xdr:colOff>673100</xdr:colOff>
      <xdr:row>239</xdr:row>
      <xdr:rowOff>168275</xdr:rowOff>
    </xdr:to>
    <xdr:sp macro="[0]!SelectBarterOffer" textlink="">
      <xdr:nvSpPr>
        <xdr:cNvPr id="1558" name="BarterBtn_4_240_1" descr="8|240|1">
          <a:extLst>
            <a:ext uri="{FF2B5EF4-FFF2-40B4-BE49-F238E27FC236}">
              <a16:creationId xmlns:a16="http://schemas.microsoft.com/office/drawing/2014/main" id="{946C09D2-829D-9756-E789-6F777E928400}"/>
            </a:ext>
          </a:extLst>
        </xdr:cNvPr>
        <xdr:cNvSpPr/>
      </xdr:nvSpPr>
      <xdr:spPr>
        <a:xfrm>
          <a:off x="59563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239</xdr:row>
      <xdr:rowOff>12700</xdr:rowOff>
    </xdr:from>
    <xdr:to>
      <xdr:col>10</xdr:col>
      <xdr:colOff>673100</xdr:colOff>
      <xdr:row>239</xdr:row>
      <xdr:rowOff>168275</xdr:rowOff>
    </xdr:to>
    <xdr:sp macro="[0]!SelectBarterOffer" textlink="">
      <xdr:nvSpPr>
        <xdr:cNvPr id="1559" name="BarterBtn_4_240_2" descr="8|240|2">
          <a:extLst>
            <a:ext uri="{FF2B5EF4-FFF2-40B4-BE49-F238E27FC236}">
              <a16:creationId xmlns:a16="http://schemas.microsoft.com/office/drawing/2014/main" id="{AA24DB91-DF3F-C9AB-E61A-D29D62FE0525}"/>
            </a:ext>
          </a:extLst>
        </xdr:cNvPr>
        <xdr:cNvSpPr/>
      </xdr:nvSpPr>
      <xdr:spPr>
        <a:xfrm>
          <a:off x="8013700" y="93957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246</xdr:row>
      <xdr:rowOff>12700</xdr:rowOff>
    </xdr:from>
    <xdr:to>
      <xdr:col>7</xdr:col>
      <xdr:colOff>673100</xdr:colOff>
      <xdr:row>246</xdr:row>
      <xdr:rowOff>168275</xdr:rowOff>
    </xdr:to>
    <xdr:sp macro="[0]!SelectBarterOffer" textlink="">
      <xdr:nvSpPr>
        <xdr:cNvPr id="1560" name="BarterBtn_4_247_1" descr="8|247|1">
          <a:extLst>
            <a:ext uri="{FF2B5EF4-FFF2-40B4-BE49-F238E27FC236}">
              <a16:creationId xmlns:a16="http://schemas.microsoft.com/office/drawing/2014/main" id="{77561D5E-63A9-2583-A132-F74A77E219D3}"/>
            </a:ext>
          </a:extLst>
        </xdr:cNvPr>
        <xdr:cNvSpPr/>
      </xdr:nvSpPr>
      <xdr:spPr>
        <a:xfrm>
          <a:off x="59563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246</xdr:row>
      <xdr:rowOff>12700</xdr:rowOff>
    </xdr:from>
    <xdr:to>
      <xdr:col>10</xdr:col>
      <xdr:colOff>673100</xdr:colOff>
      <xdr:row>246</xdr:row>
      <xdr:rowOff>168275</xdr:rowOff>
    </xdr:to>
    <xdr:sp macro="[0]!SelectBarterOffer" textlink="">
      <xdr:nvSpPr>
        <xdr:cNvPr id="1561" name="BarterBtn_4_247_2" descr="8|247|2">
          <a:extLst>
            <a:ext uri="{FF2B5EF4-FFF2-40B4-BE49-F238E27FC236}">
              <a16:creationId xmlns:a16="http://schemas.microsoft.com/office/drawing/2014/main" id="{D71295C1-F543-AE94-1B84-116AA7A68549}"/>
            </a:ext>
          </a:extLst>
        </xdr:cNvPr>
        <xdr:cNvSpPr/>
      </xdr:nvSpPr>
      <xdr:spPr>
        <a:xfrm>
          <a:off x="8013700" y="96710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253</xdr:row>
      <xdr:rowOff>12700</xdr:rowOff>
    </xdr:from>
    <xdr:to>
      <xdr:col>7</xdr:col>
      <xdr:colOff>673100</xdr:colOff>
      <xdr:row>253</xdr:row>
      <xdr:rowOff>168275</xdr:rowOff>
    </xdr:to>
    <xdr:sp macro="[0]!SelectBarterOffer" textlink="">
      <xdr:nvSpPr>
        <xdr:cNvPr id="1562" name="BarterBtn_4_254_1" descr="8|254|1">
          <a:extLst>
            <a:ext uri="{FF2B5EF4-FFF2-40B4-BE49-F238E27FC236}">
              <a16:creationId xmlns:a16="http://schemas.microsoft.com/office/drawing/2014/main" id="{826DB65C-E14F-BE0D-896D-1FF23077F7B3}"/>
            </a:ext>
          </a:extLst>
        </xdr:cNvPr>
        <xdr:cNvSpPr/>
      </xdr:nvSpPr>
      <xdr:spPr>
        <a:xfrm>
          <a:off x="5956300" y="99463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260</xdr:row>
      <xdr:rowOff>12700</xdr:rowOff>
    </xdr:from>
    <xdr:to>
      <xdr:col>7</xdr:col>
      <xdr:colOff>673100</xdr:colOff>
      <xdr:row>260</xdr:row>
      <xdr:rowOff>168275</xdr:rowOff>
    </xdr:to>
    <xdr:sp macro="[0]!SelectBarterOffer" textlink="">
      <xdr:nvSpPr>
        <xdr:cNvPr id="1563" name="BarterBtn_4_261_1" descr="8|261|1">
          <a:extLst>
            <a:ext uri="{FF2B5EF4-FFF2-40B4-BE49-F238E27FC236}">
              <a16:creationId xmlns:a16="http://schemas.microsoft.com/office/drawing/2014/main" id="{5A428F19-A8C1-AEA5-1D66-83BB09D3BBDA}"/>
            </a:ext>
          </a:extLst>
        </xdr:cNvPr>
        <xdr:cNvSpPr/>
      </xdr:nvSpPr>
      <xdr:spPr>
        <a:xfrm>
          <a:off x="5956300" y="102215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267</xdr:row>
      <xdr:rowOff>12700</xdr:rowOff>
    </xdr:from>
    <xdr:to>
      <xdr:col>7</xdr:col>
      <xdr:colOff>673100</xdr:colOff>
      <xdr:row>267</xdr:row>
      <xdr:rowOff>168275</xdr:rowOff>
    </xdr:to>
    <xdr:sp macro="[0]!SelectBarterOffer" textlink="">
      <xdr:nvSpPr>
        <xdr:cNvPr id="1564" name="BarterBtn_4_268_1" descr="8|268|1">
          <a:extLst>
            <a:ext uri="{FF2B5EF4-FFF2-40B4-BE49-F238E27FC236}">
              <a16:creationId xmlns:a16="http://schemas.microsoft.com/office/drawing/2014/main" id="{D852437A-19F0-37CA-D07F-34D8FA27B29E}"/>
            </a:ext>
          </a:extLst>
        </xdr:cNvPr>
        <xdr:cNvSpPr/>
      </xdr:nvSpPr>
      <xdr:spPr>
        <a:xfrm>
          <a:off x="59563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267</xdr:row>
      <xdr:rowOff>12700</xdr:rowOff>
    </xdr:from>
    <xdr:to>
      <xdr:col>10</xdr:col>
      <xdr:colOff>673100</xdr:colOff>
      <xdr:row>267</xdr:row>
      <xdr:rowOff>168275</xdr:rowOff>
    </xdr:to>
    <xdr:sp macro="[0]!SelectBarterOffer" textlink="">
      <xdr:nvSpPr>
        <xdr:cNvPr id="1565" name="BarterBtn_4_268_2" descr="8|268|2">
          <a:extLst>
            <a:ext uri="{FF2B5EF4-FFF2-40B4-BE49-F238E27FC236}">
              <a16:creationId xmlns:a16="http://schemas.microsoft.com/office/drawing/2014/main" id="{81E6F7AF-5669-E081-875F-79C4958F9F70}"/>
            </a:ext>
          </a:extLst>
        </xdr:cNvPr>
        <xdr:cNvSpPr/>
      </xdr:nvSpPr>
      <xdr:spPr>
        <a:xfrm>
          <a:off x="8013700" y="104968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274</xdr:row>
      <xdr:rowOff>12700</xdr:rowOff>
    </xdr:from>
    <xdr:to>
      <xdr:col>7</xdr:col>
      <xdr:colOff>673100</xdr:colOff>
      <xdr:row>274</xdr:row>
      <xdr:rowOff>168275</xdr:rowOff>
    </xdr:to>
    <xdr:sp macro="[0]!SelectBarterOffer" textlink="">
      <xdr:nvSpPr>
        <xdr:cNvPr id="1566" name="BarterBtn_4_275_1" descr="8|275|1">
          <a:extLst>
            <a:ext uri="{FF2B5EF4-FFF2-40B4-BE49-F238E27FC236}">
              <a16:creationId xmlns:a16="http://schemas.microsoft.com/office/drawing/2014/main" id="{04E6B2EB-1C0F-8047-9BD7-8A2CE1513146}"/>
            </a:ext>
          </a:extLst>
        </xdr:cNvPr>
        <xdr:cNvSpPr/>
      </xdr:nvSpPr>
      <xdr:spPr>
        <a:xfrm>
          <a:off x="59563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274</xdr:row>
      <xdr:rowOff>12700</xdr:rowOff>
    </xdr:from>
    <xdr:to>
      <xdr:col>10</xdr:col>
      <xdr:colOff>673100</xdr:colOff>
      <xdr:row>274</xdr:row>
      <xdr:rowOff>168275</xdr:rowOff>
    </xdr:to>
    <xdr:sp macro="[0]!SelectBarterOffer" textlink="">
      <xdr:nvSpPr>
        <xdr:cNvPr id="1567" name="BarterBtn_4_275_2" descr="8|275|2">
          <a:extLst>
            <a:ext uri="{FF2B5EF4-FFF2-40B4-BE49-F238E27FC236}">
              <a16:creationId xmlns:a16="http://schemas.microsoft.com/office/drawing/2014/main" id="{2F806960-419F-CA54-0E88-65EE307861D5}"/>
            </a:ext>
          </a:extLst>
        </xdr:cNvPr>
        <xdr:cNvSpPr/>
      </xdr:nvSpPr>
      <xdr:spPr>
        <a:xfrm>
          <a:off x="8013700" y="107721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281</xdr:row>
      <xdr:rowOff>12700</xdr:rowOff>
    </xdr:from>
    <xdr:to>
      <xdr:col>7</xdr:col>
      <xdr:colOff>673100</xdr:colOff>
      <xdr:row>281</xdr:row>
      <xdr:rowOff>168275</xdr:rowOff>
    </xdr:to>
    <xdr:sp macro="[0]!SelectBarterOffer" textlink="">
      <xdr:nvSpPr>
        <xdr:cNvPr id="1568" name="BarterBtn_4_282_1" descr="8|282|1">
          <a:extLst>
            <a:ext uri="{FF2B5EF4-FFF2-40B4-BE49-F238E27FC236}">
              <a16:creationId xmlns:a16="http://schemas.microsoft.com/office/drawing/2014/main" id="{0A5A4486-EE10-ED06-7DB7-B457991F4E73}"/>
            </a:ext>
          </a:extLst>
        </xdr:cNvPr>
        <xdr:cNvSpPr/>
      </xdr:nvSpPr>
      <xdr:spPr>
        <a:xfrm>
          <a:off x="59563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281</xdr:row>
      <xdr:rowOff>12700</xdr:rowOff>
    </xdr:from>
    <xdr:to>
      <xdr:col>10</xdr:col>
      <xdr:colOff>673100</xdr:colOff>
      <xdr:row>281</xdr:row>
      <xdr:rowOff>168275</xdr:rowOff>
    </xdr:to>
    <xdr:sp macro="[0]!SelectBarterOffer" textlink="">
      <xdr:nvSpPr>
        <xdr:cNvPr id="1569" name="BarterBtn_4_282_2" descr="8|282|2">
          <a:extLst>
            <a:ext uri="{FF2B5EF4-FFF2-40B4-BE49-F238E27FC236}">
              <a16:creationId xmlns:a16="http://schemas.microsoft.com/office/drawing/2014/main" id="{75FECA9C-B0D3-4327-D979-3A996424DE88}"/>
            </a:ext>
          </a:extLst>
        </xdr:cNvPr>
        <xdr:cNvSpPr/>
      </xdr:nvSpPr>
      <xdr:spPr>
        <a:xfrm>
          <a:off x="8013700" y="110474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288</xdr:row>
      <xdr:rowOff>12700</xdr:rowOff>
    </xdr:from>
    <xdr:to>
      <xdr:col>7</xdr:col>
      <xdr:colOff>673100</xdr:colOff>
      <xdr:row>288</xdr:row>
      <xdr:rowOff>168275</xdr:rowOff>
    </xdr:to>
    <xdr:sp macro="[0]!SelectBarterOffer" textlink="">
      <xdr:nvSpPr>
        <xdr:cNvPr id="1570" name="BarterBtn_4_289_1" descr="8|289|1">
          <a:extLst>
            <a:ext uri="{FF2B5EF4-FFF2-40B4-BE49-F238E27FC236}">
              <a16:creationId xmlns:a16="http://schemas.microsoft.com/office/drawing/2014/main" id="{4994C0AB-AB88-F4A4-51D2-7396167165CF}"/>
            </a:ext>
          </a:extLst>
        </xdr:cNvPr>
        <xdr:cNvSpPr/>
      </xdr:nvSpPr>
      <xdr:spPr>
        <a:xfrm>
          <a:off x="59563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288</xdr:row>
      <xdr:rowOff>12700</xdr:rowOff>
    </xdr:from>
    <xdr:to>
      <xdr:col>10</xdr:col>
      <xdr:colOff>673100</xdr:colOff>
      <xdr:row>288</xdr:row>
      <xdr:rowOff>168275</xdr:rowOff>
    </xdr:to>
    <xdr:sp macro="[0]!SelectBarterOffer" textlink="">
      <xdr:nvSpPr>
        <xdr:cNvPr id="1571" name="BarterBtn_4_289_2" descr="8|289|2">
          <a:extLst>
            <a:ext uri="{FF2B5EF4-FFF2-40B4-BE49-F238E27FC236}">
              <a16:creationId xmlns:a16="http://schemas.microsoft.com/office/drawing/2014/main" id="{CBB7F827-B958-A4E6-C0EB-677D5F9B7440}"/>
            </a:ext>
          </a:extLst>
        </xdr:cNvPr>
        <xdr:cNvSpPr/>
      </xdr:nvSpPr>
      <xdr:spPr>
        <a:xfrm>
          <a:off x="8013700" y="113226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295</xdr:row>
      <xdr:rowOff>12700</xdr:rowOff>
    </xdr:from>
    <xdr:to>
      <xdr:col>7</xdr:col>
      <xdr:colOff>673100</xdr:colOff>
      <xdr:row>295</xdr:row>
      <xdr:rowOff>168275</xdr:rowOff>
    </xdr:to>
    <xdr:sp macro="[0]!SelectBarterOffer" textlink="">
      <xdr:nvSpPr>
        <xdr:cNvPr id="1572" name="BarterBtn_4_296_1" descr="8|296|1">
          <a:extLst>
            <a:ext uri="{FF2B5EF4-FFF2-40B4-BE49-F238E27FC236}">
              <a16:creationId xmlns:a16="http://schemas.microsoft.com/office/drawing/2014/main" id="{45A3D72B-AD5C-F4E1-BAE0-ADB7342AB6FA}"/>
            </a:ext>
          </a:extLst>
        </xdr:cNvPr>
        <xdr:cNvSpPr/>
      </xdr:nvSpPr>
      <xdr:spPr>
        <a:xfrm>
          <a:off x="5956300" y="115979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302</xdr:row>
      <xdr:rowOff>12700</xdr:rowOff>
    </xdr:from>
    <xdr:to>
      <xdr:col>7</xdr:col>
      <xdr:colOff>673100</xdr:colOff>
      <xdr:row>302</xdr:row>
      <xdr:rowOff>168275</xdr:rowOff>
    </xdr:to>
    <xdr:sp macro="[0]!SelectBarterOffer" textlink="">
      <xdr:nvSpPr>
        <xdr:cNvPr id="1573" name="BarterBtn_4_303_1" descr="8|303|1">
          <a:extLst>
            <a:ext uri="{FF2B5EF4-FFF2-40B4-BE49-F238E27FC236}">
              <a16:creationId xmlns:a16="http://schemas.microsoft.com/office/drawing/2014/main" id="{9BEE6D42-0751-F73E-4BEB-69C452BEF87D}"/>
            </a:ext>
          </a:extLst>
        </xdr:cNvPr>
        <xdr:cNvSpPr/>
      </xdr:nvSpPr>
      <xdr:spPr>
        <a:xfrm>
          <a:off x="5956300" y="118732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309</xdr:row>
      <xdr:rowOff>12700</xdr:rowOff>
    </xdr:from>
    <xdr:to>
      <xdr:col>7</xdr:col>
      <xdr:colOff>673100</xdr:colOff>
      <xdr:row>309</xdr:row>
      <xdr:rowOff>168275</xdr:rowOff>
    </xdr:to>
    <xdr:sp macro="[0]!SelectBarterOffer" textlink="">
      <xdr:nvSpPr>
        <xdr:cNvPr id="1574" name="BarterBtn_4_310_1" descr="8|310|1">
          <a:extLst>
            <a:ext uri="{FF2B5EF4-FFF2-40B4-BE49-F238E27FC236}">
              <a16:creationId xmlns:a16="http://schemas.microsoft.com/office/drawing/2014/main" id="{9862FF43-112C-D623-5AFD-1931DDD09ACC}"/>
            </a:ext>
          </a:extLst>
        </xdr:cNvPr>
        <xdr:cNvSpPr/>
      </xdr:nvSpPr>
      <xdr:spPr>
        <a:xfrm>
          <a:off x="5956300" y="121485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316</xdr:row>
      <xdr:rowOff>12700</xdr:rowOff>
    </xdr:from>
    <xdr:to>
      <xdr:col>7</xdr:col>
      <xdr:colOff>673100</xdr:colOff>
      <xdr:row>316</xdr:row>
      <xdr:rowOff>168275</xdr:rowOff>
    </xdr:to>
    <xdr:sp macro="[0]!SelectBarterOffer" textlink="">
      <xdr:nvSpPr>
        <xdr:cNvPr id="1575" name="BarterBtn_4_317_1" descr="8|317|1">
          <a:extLst>
            <a:ext uri="{FF2B5EF4-FFF2-40B4-BE49-F238E27FC236}">
              <a16:creationId xmlns:a16="http://schemas.microsoft.com/office/drawing/2014/main" id="{84AE932F-8940-984E-E34A-7F92CADD8C4E}"/>
            </a:ext>
          </a:extLst>
        </xdr:cNvPr>
        <xdr:cNvSpPr/>
      </xdr:nvSpPr>
      <xdr:spPr>
        <a:xfrm>
          <a:off x="5956300" y="124237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323</xdr:row>
      <xdr:rowOff>12700</xdr:rowOff>
    </xdr:from>
    <xdr:to>
      <xdr:col>7</xdr:col>
      <xdr:colOff>673100</xdr:colOff>
      <xdr:row>323</xdr:row>
      <xdr:rowOff>168275</xdr:rowOff>
    </xdr:to>
    <xdr:sp macro="[0]!SelectBarterOffer" textlink="">
      <xdr:nvSpPr>
        <xdr:cNvPr id="1576" name="BarterBtn_4_324_1" descr="8|324|1">
          <a:extLst>
            <a:ext uri="{FF2B5EF4-FFF2-40B4-BE49-F238E27FC236}">
              <a16:creationId xmlns:a16="http://schemas.microsoft.com/office/drawing/2014/main" id="{D5EB1380-ACA2-1306-43C8-D038AFF3F2DF}"/>
            </a:ext>
          </a:extLst>
        </xdr:cNvPr>
        <xdr:cNvSpPr/>
      </xdr:nvSpPr>
      <xdr:spPr>
        <a:xfrm>
          <a:off x="5956300" y="126990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330</xdr:row>
      <xdr:rowOff>12700</xdr:rowOff>
    </xdr:from>
    <xdr:to>
      <xdr:col>7</xdr:col>
      <xdr:colOff>673100</xdr:colOff>
      <xdr:row>330</xdr:row>
      <xdr:rowOff>168275</xdr:rowOff>
    </xdr:to>
    <xdr:sp macro="[0]!SelectBarterOffer" textlink="">
      <xdr:nvSpPr>
        <xdr:cNvPr id="1577" name="BarterBtn_4_331_1" descr="8|331|1">
          <a:extLst>
            <a:ext uri="{FF2B5EF4-FFF2-40B4-BE49-F238E27FC236}">
              <a16:creationId xmlns:a16="http://schemas.microsoft.com/office/drawing/2014/main" id="{89533E80-441C-46B9-9B97-DF56FE75ED23}"/>
            </a:ext>
          </a:extLst>
        </xdr:cNvPr>
        <xdr:cNvSpPr/>
      </xdr:nvSpPr>
      <xdr:spPr>
        <a:xfrm>
          <a:off x="5956300" y="129743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337</xdr:row>
      <xdr:rowOff>12700</xdr:rowOff>
    </xdr:from>
    <xdr:to>
      <xdr:col>7</xdr:col>
      <xdr:colOff>673100</xdr:colOff>
      <xdr:row>337</xdr:row>
      <xdr:rowOff>168275</xdr:rowOff>
    </xdr:to>
    <xdr:sp macro="[0]!SelectBarterOffer" textlink="">
      <xdr:nvSpPr>
        <xdr:cNvPr id="1578" name="BarterBtn_4_338_1" descr="8|338|1">
          <a:extLst>
            <a:ext uri="{FF2B5EF4-FFF2-40B4-BE49-F238E27FC236}">
              <a16:creationId xmlns:a16="http://schemas.microsoft.com/office/drawing/2014/main" id="{23D69C4F-428E-CCE3-EDCF-DA200C6FAE4F}"/>
            </a:ext>
          </a:extLst>
        </xdr:cNvPr>
        <xdr:cNvSpPr/>
      </xdr:nvSpPr>
      <xdr:spPr>
        <a:xfrm>
          <a:off x="5956300" y="132495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344</xdr:row>
      <xdr:rowOff>12700</xdr:rowOff>
    </xdr:from>
    <xdr:to>
      <xdr:col>7</xdr:col>
      <xdr:colOff>673100</xdr:colOff>
      <xdr:row>344</xdr:row>
      <xdr:rowOff>168275</xdr:rowOff>
    </xdr:to>
    <xdr:sp macro="[0]!SelectBarterOffer" textlink="">
      <xdr:nvSpPr>
        <xdr:cNvPr id="1579" name="BarterBtn_4_345_1" descr="8|345|1">
          <a:extLst>
            <a:ext uri="{FF2B5EF4-FFF2-40B4-BE49-F238E27FC236}">
              <a16:creationId xmlns:a16="http://schemas.microsoft.com/office/drawing/2014/main" id="{B3BF841F-9DE6-0259-372F-A8779F88C8E1}"/>
            </a:ext>
          </a:extLst>
        </xdr:cNvPr>
        <xdr:cNvSpPr/>
      </xdr:nvSpPr>
      <xdr:spPr>
        <a:xfrm>
          <a:off x="5956300" y="135248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351</xdr:row>
      <xdr:rowOff>12700</xdr:rowOff>
    </xdr:from>
    <xdr:to>
      <xdr:col>7</xdr:col>
      <xdr:colOff>673100</xdr:colOff>
      <xdr:row>351</xdr:row>
      <xdr:rowOff>168275</xdr:rowOff>
    </xdr:to>
    <xdr:sp macro="[0]!SelectBarterOffer" textlink="">
      <xdr:nvSpPr>
        <xdr:cNvPr id="1580" name="BarterBtn_4_352_1" descr="8|352|1">
          <a:extLst>
            <a:ext uri="{FF2B5EF4-FFF2-40B4-BE49-F238E27FC236}">
              <a16:creationId xmlns:a16="http://schemas.microsoft.com/office/drawing/2014/main" id="{59BD4C2B-4FAA-BD7F-9626-1410788D795F}"/>
            </a:ext>
          </a:extLst>
        </xdr:cNvPr>
        <xdr:cNvSpPr/>
      </xdr:nvSpPr>
      <xdr:spPr>
        <a:xfrm>
          <a:off x="5956300" y="138001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358</xdr:row>
      <xdr:rowOff>12700</xdr:rowOff>
    </xdr:from>
    <xdr:to>
      <xdr:col>7</xdr:col>
      <xdr:colOff>673100</xdr:colOff>
      <xdr:row>358</xdr:row>
      <xdr:rowOff>168275</xdr:rowOff>
    </xdr:to>
    <xdr:sp macro="[0]!SelectBarterOffer" textlink="">
      <xdr:nvSpPr>
        <xdr:cNvPr id="1581" name="BarterBtn_4_359_1" descr="8|359|1">
          <a:extLst>
            <a:ext uri="{FF2B5EF4-FFF2-40B4-BE49-F238E27FC236}">
              <a16:creationId xmlns:a16="http://schemas.microsoft.com/office/drawing/2014/main" id="{3F2567EC-D7A3-87D6-B31F-6AB156D75318}"/>
            </a:ext>
          </a:extLst>
        </xdr:cNvPr>
        <xdr:cNvSpPr/>
      </xdr:nvSpPr>
      <xdr:spPr>
        <a:xfrm>
          <a:off x="5956300" y="140754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365</xdr:row>
      <xdr:rowOff>12700</xdr:rowOff>
    </xdr:from>
    <xdr:to>
      <xdr:col>7</xdr:col>
      <xdr:colOff>673100</xdr:colOff>
      <xdr:row>365</xdr:row>
      <xdr:rowOff>168275</xdr:rowOff>
    </xdr:to>
    <xdr:sp macro="[0]!SelectBarterOffer" textlink="">
      <xdr:nvSpPr>
        <xdr:cNvPr id="1582" name="BarterBtn_4_366_1" descr="8|366|1">
          <a:extLst>
            <a:ext uri="{FF2B5EF4-FFF2-40B4-BE49-F238E27FC236}">
              <a16:creationId xmlns:a16="http://schemas.microsoft.com/office/drawing/2014/main" id="{88CBA165-EDD3-B6D8-C36C-5939080A24C9}"/>
            </a:ext>
          </a:extLst>
        </xdr:cNvPr>
        <xdr:cNvSpPr/>
      </xdr:nvSpPr>
      <xdr:spPr>
        <a:xfrm>
          <a:off x="5956300" y="143506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372</xdr:row>
      <xdr:rowOff>12700</xdr:rowOff>
    </xdr:from>
    <xdr:to>
      <xdr:col>7</xdr:col>
      <xdr:colOff>673100</xdr:colOff>
      <xdr:row>372</xdr:row>
      <xdr:rowOff>168275</xdr:rowOff>
    </xdr:to>
    <xdr:sp macro="[0]!SelectBarterOffer" textlink="">
      <xdr:nvSpPr>
        <xdr:cNvPr id="1583" name="BarterBtn_4_373_1" descr="8|373|1">
          <a:extLst>
            <a:ext uri="{FF2B5EF4-FFF2-40B4-BE49-F238E27FC236}">
              <a16:creationId xmlns:a16="http://schemas.microsoft.com/office/drawing/2014/main" id="{4824B51B-4C19-5733-10A7-0A5EB54F558E}"/>
            </a:ext>
          </a:extLst>
        </xdr:cNvPr>
        <xdr:cNvSpPr/>
      </xdr:nvSpPr>
      <xdr:spPr>
        <a:xfrm>
          <a:off x="5956300" y="146259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379</xdr:row>
      <xdr:rowOff>12700</xdr:rowOff>
    </xdr:from>
    <xdr:to>
      <xdr:col>7</xdr:col>
      <xdr:colOff>673100</xdr:colOff>
      <xdr:row>379</xdr:row>
      <xdr:rowOff>168275</xdr:rowOff>
    </xdr:to>
    <xdr:sp macro="[0]!SelectBarterOffer" textlink="">
      <xdr:nvSpPr>
        <xdr:cNvPr id="1584" name="BarterBtn_4_380_1" descr="8|380|1">
          <a:extLst>
            <a:ext uri="{FF2B5EF4-FFF2-40B4-BE49-F238E27FC236}">
              <a16:creationId xmlns:a16="http://schemas.microsoft.com/office/drawing/2014/main" id="{0E3721D6-84FF-D11E-718E-39F9E63F1336}"/>
            </a:ext>
          </a:extLst>
        </xdr:cNvPr>
        <xdr:cNvSpPr/>
      </xdr:nvSpPr>
      <xdr:spPr>
        <a:xfrm>
          <a:off x="5956300" y="149012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386</xdr:row>
      <xdr:rowOff>12700</xdr:rowOff>
    </xdr:from>
    <xdr:to>
      <xdr:col>7</xdr:col>
      <xdr:colOff>673100</xdr:colOff>
      <xdr:row>386</xdr:row>
      <xdr:rowOff>168275</xdr:rowOff>
    </xdr:to>
    <xdr:sp macro="[0]!SelectBarterOffer" textlink="">
      <xdr:nvSpPr>
        <xdr:cNvPr id="1585" name="BarterBtn_4_387_1" descr="8|387|1">
          <a:extLst>
            <a:ext uri="{FF2B5EF4-FFF2-40B4-BE49-F238E27FC236}">
              <a16:creationId xmlns:a16="http://schemas.microsoft.com/office/drawing/2014/main" id="{35924AAA-2154-E4E9-0EE9-31AF52686C46}"/>
            </a:ext>
          </a:extLst>
        </xdr:cNvPr>
        <xdr:cNvSpPr/>
      </xdr:nvSpPr>
      <xdr:spPr>
        <a:xfrm>
          <a:off x="5956300" y="151765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393</xdr:row>
      <xdr:rowOff>12700</xdr:rowOff>
    </xdr:from>
    <xdr:to>
      <xdr:col>7</xdr:col>
      <xdr:colOff>673100</xdr:colOff>
      <xdr:row>393</xdr:row>
      <xdr:rowOff>168275</xdr:rowOff>
    </xdr:to>
    <xdr:sp macro="[0]!SelectBarterOffer" textlink="">
      <xdr:nvSpPr>
        <xdr:cNvPr id="1586" name="BarterBtn_4_394_1" descr="8|394|1">
          <a:extLst>
            <a:ext uri="{FF2B5EF4-FFF2-40B4-BE49-F238E27FC236}">
              <a16:creationId xmlns:a16="http://schemas.microsoft.com/office/drawing/2014/main" id="{07E426FE-40E5-77B1-5887-E6A0F9E0E8A0}"/>
            </a:ext>
          </a:extLst>
        </xdr:cNvPr>
        <xdr:cNvSpPr/>
      </xdr:nvSpPr>
      <xdr:spPr>
        <a:xfrm>
          <a:off x="5956300" y="154517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400</xdr:row>
      <xdr:rowOff>12700</xdr:rowOff>
    </xdr:from>
    <xdr:to>
      <xdr:col>7</xdr:col>
      <xdr:colOff>673100</xdr:colOff>
      <xdr:row>400</xdr:row>
      <xdr:rowOff>168275</xdr:rowOff>
    </xdr:to>
    <xdr:sp macro="[0]!SelectBarterOffer" textlink="">
      <xdr:nvSpPr>
        <xdr:cNvPr id="1587" name="BarterBtn_4_401_1" descr="8|401|1">
          <a:extLst>
            <a:ext uri="{FF2B5EF4-FFF2-40B4-BE49-F238E27FC236}">
              <a16:creationId xmlns:a16="http://schemas.microsoft.com/office/drawing/2014/main" id="{8154D1AE-FC4A-D938-F2A8-6834A2CB1941}"/>
            </a:ext>
          </a:extLst>
        </xdr:cNvPr>
        <xdr:cNvSpPr/>
      </xdr:nvSpPr>
      <xdr:spPr>
        <a:xfrm>
          <a:off x="5956300" y="157270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407</xdr:row>
      <xdr:rowOff>12700</xdr:rowOff>
    </xdr:from>
    <xdr:to>
      <xdr:col>7</xdr:col>
      <xdr:colOff>673100</xdr:colOff>
      <xdr:row>407</xdr:row>
      <xdr:rowOff>168275</xdr:rowOff>
    </xdr:to>
    <xdr:sp macro="[0]!SelectBarterOffer" textlink="">
      <xdr:nvSpPr>
        <xdr:cNvPr id="1588" name="BarterBtn_4_408_1" descr="8|408|1">
          <a:extLst>
            <a:ext uri="{FF2B5EF4-FFF2-40B4-BE49-F238E27FC236}">
              <a16:creationId xmlns:a16="http://schemas.microsoft.com/office/drawing/2014/main" id="{638DD12E-7784-7CF9-0B6B-6BCDB5220EF8}"/>
            </a:ext>
          </a:extLst>
        </xdr:cNvPr>
        <xdr:cNvSpPr/>
      </xdr:nvSpPr>
      <xdr:spPr>
        <a:xfrm>
          <a:off x="5956300" y="160023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414</xdr:row>
      <xdr:rowOff>12700</xdr:rowOff>
    </xdr:from>
    <xdr:to>
      <xdr:col>7</xdr:col>
      <xdr:colOff>673100</xdr:colOff>
      <xdr:row>414</xdr:row>
      <xdr:rowOff>168275</xdr:rowOff>
    </xdr:to>
    <xdr:sp macro="[0]!SelectBarterOffer" textlink="">
      <xdr:nvSpPr>
        <xdr:cNvPr id="1589" name="BarterBtn_4_415_1" descr="8|415|1">
          <a:extLst>
            <a:ext uri="{FF2B5EF4-FFF2-40B4-BE49-F238E27FC236}">
              <a16:creationId xmlns:a16="http://schemas.microsoft.com/office/drawing/2014/main" id="{EEABA9E7-0F77-1624-A6F8-A7B2A3DCD2F2}"/>
            </a:ext>
          </a:extLst>
        </xdr:cNvPr>
        <xdr:cNvSpPr/>
      </xdr:nvSpPr>
      <xdr:spPr>
        <a:xfrm>
          <a:off x="5956300" y="162775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421</xdr:row>
      <xdr:rowOff>12700</xdr:rowOff>
    </xdr:from>
    <xdr:to>
      <xdr:col>7</xdr:col>
      <xdr:colOff>673100</xdr:colOff>
      <xdr:row>421</xdr:row>
      <xdr:rowOff>168275</xdr:rowOff>
    </xdr:to>
    <xdr:sp macro="[0]!SelectBarterOffer" textlink="">
      <xdr:nvSpPr>
        <xdr:cNvPr id="1590" name="BarterBtn_4_422_1" descr="8|422|1">
          <a:extLst>
            <a:ext uri="{FF2B5EF4-FFF2-40B4-BE49-F238E27FC236}">
              <a16:creationId xmlns:a16="http://schemas.microsoft.com/office/drawing/2014/main" id="{8C7CF959-504C-5481-5BDF-40A7D59CDC28}"/>
            </a:ext>
          </a:extLst>
        </xdr:cNvPr>
        <xdr:cNvSpPr/>
      </xdr:nvSpPr>
      <xdr:spPr>
        <a:xfrm>
          <a:off x="5956300" y="165528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428</xdr:row>
      <xdr:rowOff>12700</xdr:rowOff>
    </xdr:from>
    <xdr:to>
      <xdr:col>7</xdr:col>
      <xdr:colOff>673100</xdr:colOff>
      <xdr:row>428</xdr:row>
      <xdr:rowOff>168275</xdr:rowOff>
    </xdr:to>
    <xdr:sp macro="[0]!SelectBarterOffer" textlink="">
      <xdr:nvSpPr>
        <xdr:cNvPr id="1591" name="BarterBtn_4_429_1" descr="8|429|1">
          <a:extLst>
            <a:ext uri="{FF2B5EF4-FFF2-40B4-BE49-F238E27FC236}">
              <a16:creationId xmlns:a16="http://schemas.microsoft.com/office/drawing/2014/main" id="{3487B989-81D1-91DC-AAF0-7D3FC0A3C99B}"/>
            </a:ext>
          </a:extLst>
        </xdr:cNvPr>
        <xdr:cNvSpPr/>
      </xdr:nvSpPr>
      <xdr:spPr>
        <a:xfrm>
          <a:off x="5956300" y="168281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435</xdr:row>
      <xdr:rowOff>12700</xdr:rowOff>
    </xdr:from>
    <xdr:to>
      <xdr:col>7</xdr:col>
      <xdr:colOff>673100</xdr:colOff>
      <xdr:row>435</xdr:row>
      <xdr:rowOff>168275</xdr:rowOff>
    </xdr:to>
    <xdr:sp macro="[0]!SelectBarterOffer" textlink="">
      <xdr:nvSpPr>
        <xdr:cNvPr id="1592" name="BarterBtn_4_436_1" descr="8|436|1">
          <a:extLst>
            <a:ext uri="{FF2B5EF4-FFF2-40B4-BE49-F238E27FC236}">
              <a16:creationId xmlns:a16="http://schemas.microsoft.com/office/drawing/2014/main" id="{7E470936-71FE-345E-C2AA-4A3745E3FE69}"/>
            </a:ext>
          </a:extLst>
        </xdr:cNvPr>
        <xdr:cNvSpPr/>
      </xdr:nvSpPr>
      <xdr:spPr>
        <a:xfrm>
          <a:off x="5956300" y="171034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442</xdr:row>
      <xdr:rowOff>12700</xdr:rowOff>
    </xdr:from>
    <xdr:to>
      <xdr:col>7</xdr:col>
      <xdr:colOff>673100</xdr:colOff>
      <xdr:row>442</xdr:row>
      <xdr:rowOff>168275</xdr:rowOff>
    </xdr:to>
    <xdr:sp macro="[0]!SelectBarterOffer" textlink="">
      <xdr:nvSpPr>
        <xdr:cNvPr id="1593" name="BarterBtn_4_443_1" descr="8|443|1">
          <a:extLst>
            <a:ext uri="{FF2B5EF4-FFF2-40B4-BE49-F238E27FC236}">
              <a16:creationId xmlns:a16="http://schemas.microsoft.com/office/drawing/2014/main" id="{68CE9B5C-1D70-F6FD-F3CE-6B442B1EA577}"/>
            </a:ext>
          </a:extLst>
        </xdr:cNvPr>
        <xdr:cNvSpPr/>
      </xdr:nvSpPr>
      <xdr:spPr>
        <a:xfrm>
          <a:off x="5956300" y="173786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449</xdr:row>
      <xdr:rowOff>12700</xdr:rowOff>
    </xdr:from>
    <xdr:to>
      <xdr:col>7</xdr:col>
      <xdr:colOff>673100</xdr:colOff>
      <xdr:row>449</xdr:row>
      <xdr:rowOff>168275</xdr:rowOff>
    </xdr:to>
    <xdr:sp macro="[0]!SelectBarterOffer" textlink="">
      <xdr:nvSpPr>
        <xdr:cNvPr id="1594" name="BarterBtn_4_450_1" descr="8|450|1">
          <a:extLst>
            <a:ext uri="{FF2B5EF4-FFF2-40B4-BE49-F238E27FC236}">
              <a16:creationId xmlns:a16="http://schemas.microsoft.com/office/drawing/2014/main" id="{85BFF800-668C-C9F4-B549-A14DDDE9A398}"/>
            </a:ext>
          </a:extLst>
        </xdr:cNvPr>
        <xdr:cNvSpPr/>
      </xdr:nvSpPr>
      <xdr:spPr>
        <a:xfrm>
          <a:off x="5956300" y="176539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456</xdr:row>
      <xdr:rowOff>12700</xdr:rowOff>
    </xdr:from>
    <xdr:to>
      <xdr:col>7</xdr:col>
      <xdr:colOff>673100</xdr:colOff>
      <xdr:row>456</xdr:row>
      <xdr:rowOff>168275</xdr:rowOff>
    </xdr:to>
    <xdr:sp macro="[0]!SelectBarterOffer" textlink="">
      <xdr:nvSpPr>
        <xdr:cNvPr id="1595" name="BarterBtn_4_457_1" descr="8|457|1">
          <a:extLst>
            <a:ext uri="{FF2B5EF4-FFF2-40B4-BE49-F238E27FC236}">
              <a16:creationId xmlns:a16="http://schemas.microsoft.com/office/drawing/2014/main" id="{3195D923-9AB5-5804-C129-A06CE9A17264}"/>
            </a:ext>
          </a:extLst>
        </xdr:cNvPr>
        <xdr:cNvSpPr/>
      </xdr:nvSpPr>
      <xdr:spPr>
        <a:xfrm>
          <a:off x="5956300" y="179292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463</xdr:row>
      <xdr:rowOff>12700</xdr:rowOff>
    </xdr:from>
    <xdr:to>
      <xdr:col>7</xdr:col>
      <xdr:colOff>673100</xdr:colOff>
      <xdr:row>463</xdr:row>
      <xdr:rowOff>168275</xdr:rowOff>
    </xdr:to>
    <xdr:sp macro="[0]!SelectBarterOffer" textlink="">
      <xdr:nvSpPr>
        <xdr:cNvPr id="1596" name="BarterBtn_4_464_1" descr="8|464|1">
          <a:extLst>
            <a:ext uri="{FF2B5EF4-FFF2-40B4-BE49-F238E27FC236}">
              <a16:creationId xmlns:a16="http://schemas.microsoft.com/office/drawing/2014/main" id="{8EABA964-4EFB-B969-386F-C05B32C7D1CC}"/>
            </a:ext>
          </a:extLst>
        </xdr:cNvPr>
        <xdr:cNvSpPr/>
      </xdr:nvSpPr>
      <xdr:spPr>
        <a:xfrm>
          <a:off x="5956300" y="182044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470</xdr:row>
      <xdr:rowOff>12700</xdr:rowOff>
    </xdr:from>
    <xdr:to>
      <xdr:col>7</xdr:col>
      <xdr:colOff>673100</xdr:colOff>
      <xdr:row>470</xdr:row>
      <xdr:rowOff>168275</xdr:rowOff>
    </xdr:to>
    <xdr:sp macro="[0]!SelectBarterOffer" textlink="">
      <xdr:nvSpPr>
        <xdr:cNvPr id="1597" name="BarterBtn_4_471_1" descr="8|471|1">
          <a:extLst>
            <a:ext uri="{FF2B5EF4-FFF2-40B4-BE49-F238E27FC236}">
              <a16:creationId xmlns:a16="http://schemas.microsoft.com/office/drawing/2014/main" id="{AD9BFF96-2E61-D353-AF96-E7612A8E2035}"/>
            </a:ext>
          </a:extLst>
        </xdr:cNvPr>
        <xdr:cNvSpPr/>
      </xdr:nvSpPr>
      <xdr:spPr>
        <a:xfrm>
          <a:off x="5956300" y="184797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477</xdr:row>
      <xdr:rowOff>12700</xdr:rowOff>
    </xdr:from>
    <xdr:to>
      <xdr:col>7</xdr:col>
      <xdr:colOff>673100</xdr:colOff>
      <xdr:row>477</xdr:row>
      <xdr:rowOff>168275</xdr:rowOff>
    </xdr:to>
    <xdr:sp macro="[0]!SelectBarterOffer" textlink="">
      <xdr:nvSpPr>
        <xdr:cNvPr id="1598" name="BarterBtn_4_478_1" descr="8|478|1">
          <a:extLst>
            <a:ext uri="{FF2B5EF4-FFF2-40B4-BE49-F238E27FC236}">
              <a16:creationId xmlns:a16="http://schemas.microsoft.com/office/drawing/2014/main" id="{B185192A-3ACF-B667-E974-5292B327431C}"/>
            </a:ext>
          </a:extLst>
        </xdr:cNvPr>
        <xdr:cNvSpPr/>
      </xdr:nvSpPr>
      <xdr:spPr>
        <a:xfrm>
          <a:off x="5956300" y="187550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484</xdr:row>
      <xdr:rowOff>12700</xdr:rowOff>
    </xdr:from>
    <xdr:to>
      <xdr:col>7</xdr:col>
      <xdr:colOff>673100</xdr:colOff>
      <xdr:row>484</xdr:row>
      <xdr:rowOff>168275</xdr:rowOff>
    </xdr:to>
    <xdr:sp macro="[0]!SelectBarterOffer" textlink="">
      <xdr:nvSpPr>
        <xdr:cNvPr id="1599" name="BarterBtn_4_485_1" descr="8|485|1">
          <a:extLst>
            <a:ext uri="{FF2B5EF4-FFF2-40B4-BE49-F238E27FC236}">
              <a16:creationId xmlns:a16="http://schemas.microsoft.com/office/drawing/2014/main" id="{7C6E28CE-1D76-EDB0-0AD4-28540601AC9D}"/>
            </a:ext>
          </a:extLst>
        </xdr:cNvPr>
        <xdr:cNvSpPr/>
      </xdr:nvSpPr>
      <xdr:spPr>
        <a:xfrm>
          <a:off x="5956300" y="190303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491</xdr:row>
      <xdr:rowOff>12700</xdr:rowOff>
    </xdr:from>
    <xdr:to>
      <xdr:col>7</xdr:col>
      <xdr:colOff>673100</xdr:colOff>
      <xdr:row>491</xdr:row>
      <xdr:rowOff>168275</xdr:rowOff>
    </xdr:to>
    <xdr:sp macro="[0]!SelectBarterOffer" textlink="">
      <xdr:nvSpPr>
        <xdr:cNvPr id="1600" name="BarterBtn_4_492_1" descr="8|492|1">
          <a:extLst>
            <a:ext uri="{FF2B5EF4-FFF2-40B4-BE49-F238E27FC236}">
              <a16:creationId xmlns:a16="http://schemas.microsoft.com/office/drawing/2014/main" id="{CA4C5F1C-DCD3-D61B-31A2-10BBE23EE3F3}"/>
            </a:ext>
          </a:extLst>
        </xdr:cNvPr>
        <xdr:cNvSpPr/>
      </xdr:nvSpPr>
      <xdr:spPr>
        <a:xfrm>
          <a:off x="5956300" y="193055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498</xdr:row>
      <xdr:rowOff>12700</xdr:rowOff>
    </xdr:from>
    <xdr:to>
      <xdr:col>7</xdr:col>
      <xdr:colOff>673100</xdr:colOff>
      <xdr:row>498</xdr:row>
      <xdr:rowOff>168275</xdr:rowOff>
    </xdr:to>
    <xdr:sp macro="[0]!SelectBarterOffer" textlink="">
      <xdr:nvSpPr>
        <xdr:cNvPr id="1601" name="BarterBtn_4_499_1" descr="8|499|1">
          <a:extLst>
            <a:ext uri="{FF2B5EF4-FFF2-40B4-BE49-F238E27FC236}">
              <a16:creationId xmlns:a16="http://schemas.microsoft.com/office/drawing/2014/main" id="{94E97D64-8BE2-ED54-8835-6AFED69A6A9B}"/>
            </a:ext>
          </a:extLst>
        </xdr:cNvPr>
        <xdr:cNvSpPr/>
      </xdr:nvSpPr>
      <xdr:spPr>
        <a:xfrm>
          <a:off x="5956300" y="195808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505</xdr:row>
      <xdr:rowOff>12700</xdr:rowOff>
    </xdr:from>
    <xdr:to>
      <xdr:col>7</xdr:col>
      <xdr:colOff>673100</xdr:colOff>
      <xdr:row>505</xdr:row>
      <xdr:rowOff>168275</xdr:rowOff>
    </xdr:to>
    <xdr:sp macro="[0]!SelectBarterOffer" textlink="">
      <xdr:nvSpPr>
        <xdr:cNvPr id="1602" name="BarterBtn_4_506_1" descr="8|506|1">
          <a:extLst>
            <a:ext uri="{FF2B5EF4-FFF2-40B4-BE49-F238E27FC236}">
              <a16:creationId xmlns:a16="http://schemas.microsoft.com/office/drawing/2014/main" id="{1C43F08A-0C7D-25E2-0727-EEB257A286ED}"/>
            </a:ext>
          </a:extLst>
        </xdr:cNvPr>
        <xdr:cNvSpPr/>
      </xdr:nvSpPr>
      <xdr:spPr>
        <a:xfrm>
          <a:off x="5956300" y="198561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512</xdr:row>
      <xdr:rowOff>12700</xdr:rowOff>
    </xdr:from>
    <xdr:to>
      <xdr:col>7</xdr:col>
      <xdr:colOff>673100</xdr:colOff>
      <xdr:row>512</xdr:row>
      <xdr:rowOff>168275</xdr:rowOff>
    </xdr:to>
    <xdr:sp macro="[0]!SelectBarterOffer" textlink="">
      <xdr:nvSpPr>
        <xdr:cNvPr id="1603" name="BarterBtn_4_513_1" descr="8|513|1">
          <a:extLst>
            <a:ext uri="{FF2B5EF4-FFF2-40B4-BE49-F238E27FC236}">
              <a16:creationId xmlns:a16="http://schemas.microsoft.com/office/drawing/2014/main" id="{93DFFC02-2623-1519-BC20-3EF071E65D18}"/>
            </a:ext>
          </a:extLst>
        </xdr:cNvPr>
        <xdr:cNvSpPr/>
      </xdr:nvSpPr>
      <xdr:spPr>
        <a:xfrm>
          <a:off x="5956300" y="201314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512</xdr:row>
      <xdr:rowOff>12700</xdr:rowOff>
    </xdr:from>
    <xdr:to>
      <xdr:col>10</xdr:col>
      <xdr:colOff>673100</xdr:colOff>
      <xdr:row>512</xdr:row>
      <xdr:rowOff>168275</xdr:rowOff>
    </xdr:to>
    <xdr:sp macro="[0]!SelectBarterOffer" textlink="">
      <xdr:nvSpPr>
        <xdr:cNvPr id="1604" name="BarterBtn_4_513_2" descr="8|513|2">
          <a:extLst>
            <a:ext uri="{FF2B5EF4-FFF2-40B4-BE49-F238E27FC236}">
              <a16:creationId xmlns:a16="http://schemas.microsoft.com/office/drawing/2014/main" id="{9116DEE1-88FA-435D-FBF3-F8C45C1EEB9C}"/>
            </a:ext>
          </a:extLst>
        </xdr:cNvPr>
        <xdr:cNvSpPr/>
      </xdr:nvSpPr>
      <xdr:spPr>
        <a:xfrm>
          <a:off x="8013700" y="201314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519</xdr:row>
      <xdr:rowOff>12700</xdr:rowOff>
    </xdr:from>
    <xdr:to>
      <xdr:col>7</xdr:col>
      <xdr:colOff>673100</xdr:colOff>
      <xdr:row>519</xdr:row>
      <xdr:rowOff>168275</xdr:rowOff>
    </xdr:to>
    <xdr:sp macro="[0]!SelectBarterOffer" textlink="">
      <xdr:nvSpPr>
        <xdr:cNvPr id="1605" name="BarterBtn_4_520_1" descr="8|520|1">
          <a:extLst>
            <a:ext uri="{FF2B5EF4-FFF2-40B4-BE49-F238E27FC236}">
              <a16:creationId xmlns:a16="http://schemas.microsoft.com/office/drawing/2014/main" id="{279657B3-B87B-7A86-219C-2FB2A54CFD9D}"/>
            </a:ext>
          </a:extLst>
        </xdr:cNvPr>
        <xdr:cNvSpPr/>
      </xdr:nvSpPr>
      <xdr:spPr>
        <a:xfrm>
          <a:off x="5956300" y="204066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519</xdr:row>
      <xdr:rowOff>12700</xdr:rowOff>
    </xdr:from>
    <xdr:to>
      <xdr:col>10</xdr:col>
      <xdr:colOff>673100</xdr:colOff>
      <xdr:row>519</xdr:row>
      <xdr:rowOff>168275</xdr:rowOff>
    </xdr:to>
    <xdr:sp macro="[0]!SelectBarterOffer" textlink="">
      <xdr:nvSpPr>
        <xdr:cNvPr id="1606" name="BarterBtn_4_520_2" descr="8|520|2">
          <a:extLst>
            <a:ext uri="{FF2B5EF4-FFF2-40B4-BE49-F238E27FC236}">
              <a16:creationId xmlns:a16="http://schemas.microsoft.com/office/drawing/2014/main" id="{6D71DF21-40B7-4577-8888-926055C6A6A2}"/>
            </a:ext>
          </a:extLst>
        </xdr:cNvPr>
        <xdr:cNvSpPr/>
      </xdr:nvSpPr>
      <xdr:spPr>
        <a:xfrm>
          <a:off x="8013700" y="204066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526</xdr:row>
      <xdr:rowOff>12700</xdr:rowOff>
    </xdr:from>
    <xdr:to>
      <xdr:col>7</xdr:col>
      <xdr:colOff>673100</xdr:colOff>
      <xdr:row>526</xdr:row>
      <xdr:rowOff>168275</xdr:rowOff>
    </xdr:to>
    <xdr:sp macro="[0]!SelectBarterOffer" textlink="">
      <xdr:nvSpPr>
        <xdr:cNvPr id="1607" name="BarterBtn_4_527_1" descr="8|527|1">
          <a:extLst>
            <a:ext uri="{FF2B5EF4-FFF2-40B4-BE49-F238E27FC236}">
              <a16:creationId xmlns:a16="http://schemas.microsoft.com/office/drawing/2014/main" id="{86F39A07-B549-B12E-41FB-B764AE4AFAD3}"/>
            </a:ext>
          </a:extLst>
        </xdr:cNvPr>
        <xdr:cNvSpPr/>
      </xdr:nvSpPr>
      <xdr:spPr>
        <a:xfrm>
          <a:off x="5956300" y="206819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526</xdr:row>
      <xdr:rowOff>12700</xdr:rowOff>
    </xdr:from>
    <xdr:to>
      <xdr:col>10</xdr:col>
      <xdr:colOff>673100</xdr:colOff>
      <xdr:row>526</xdr:row>
      <xdr:rowOff>168275</xdr:rowOff>
    </xdr:to>
    <xdr:sp macro="[0]!SelectBarterOffer" textlink="">
      <xdr:nvSpPr>
        <xdr:cNvPr id="1608" name="BarterBtn_4_527_2" descr="8|527|2">
          <a:extLst>
            <a:ext uri="{FF2B5EF4-FFF2-40B4-BE49-F238E27FC236}">
              <a16:creationId xmlns:a16="http://schemas.microsoft.com/office/drawing/2014/main" id="{2B83E9E6-3509-CB93-5904-A6672BC94709}"/>
            </a:ext>
          </a:extLst>
        </xdr:cNvPr>
        <xdr:cNvSpPr/>
      </xdr:nvSpPr>
      <xdr:spPr>
        <a:xfrm>
          <a:off x="8013700" y="206819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533</xdr:row>
      <xdr:rowOff>12700</xdr:rowOff>
    </xdr:from>
    <xdr:to>
      <xdr:col>7</xdr:col>
      <xdr:colOff>673100</xdr:colOff>
      <xdr:row>533</xdr:row>
      <xdr:rowOff>168275</xdr:rowOff>
    </xdr:to>
    <xdr:sp macro="[0]!SelectBarterOffer" textlink="">
      <xdr:nvSpPr>
        <xdr:cNvPr id="1609" name="BarterBtn_4_534_1" descr="8|534|1">
          <a:extLst>
            <a:ext uri="{FF2B5EF4-FFF2-40B4-BE49-F238E27FC236}">
              <a16:creationId xmlns:a16="http://schemas.microsoft.com/office/drawing/2014/main" id="{0CAF7042-2DC9-4B1F-FE13-6B09176B204C}"/>
            </a:ext>
          </a:extLst>
        </xdr:cNvPr>
        <xdr:cNvSpPr/>
      </xdr:nvSpPr>
      <xdr:spPr>
        <a:xfrm>
          <a:off x="5956300" y="209572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533</xdr:row>
      <xdr:rowOff>12700</xdr:rowOff>
    </xdr:from>
    <xdr:to>
      <xdr:col>10</xdr:col>
      <xdr:colOff>673100</xdr:colOff>
      <xdr:row>533</xdr:row>
      <xdr:rowOff>168275</xdr:rowOff>
    </xdr:to>
    <xdr:sp macro="[0]!SelectBarterOffer" textlink="">
      <xdr:nvSpPr>
        <xdr:cNvPr id="1610" name="BarterBtn_4_534_2" descr="8|534|2">
          <a:extLst>
            <a:ext uri="{FF2B5EF4-FFF2-40B4-BE49-F238E27FC236}">
              <a16:creationId xmlns:a16="http://schemas.microsoft.com/office/drawing/2014/main" id="{5AE640BE-0B9E-6905-225D-F615B1DBEECF}"/>
            </a:ext>
          </a:extLst>
        </xdr:cNvPr>
        <xdr:cNvSpPr/>
      </xdr:nvSpPr>
      <xdr:spPr>
        <a:xfrm>
          <a:off x="8013700" y="209572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540</xdr:row>
      <xdr:rowOff>12700</xdr:rowOff>
    </xdr:from>
    <xdr:to>
      <xdr:col>7</xdr:col>
      <xdr:colOff>673100</xdr:colOff>
      <xdr:row>540</xdr:row>
      <xdr:rowOff>168275</xdr:rowOff>
    </xdr:to>
    <xdr:sp macro="[0]!SelectBarterOffer" textlink="">
      <xdr:nvSpPr>
        <xdr:cNvPr id="1611" name="BarterBtn_4_541_1" descr="8|541|1">
          <a:extLst>
            <a:ext uri="{FF2B5EF4-FFF2-40B4-BE49-F238E27FC236}">
              <a16:creationId xmlns:a16="http://schemas.microsoft.com/office/drawing/2014/main" id="{5A180025-9A9D-C030-DA32-58C3EECC6288}"/>
            </a:ext>
          </a:extLst>
        </xdr:cNvPr>
        <xdr:cNvSpPr/>
      </xdr:nvSpPr>
      <xdr:spPr>
        <a:xfrm>
          <a:off x="5956300" y="212324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540</xdr:row>
      <xdr:rowOff>12700</xdr:rowOff>
    </xdr:from>
    <xdr:to>
      <xdr:col>10</xdr:col>
      <xdr:colOff>673100</xdr:colOff>
      <xdr:row>540</xdr:row>
      <xdr:rowOff>168275</xdr:rowOff>
    </xdr:to>
    <xdr:sp macro="[0]!SelectBarterOffer" textlink="">
      <xdr:nvSpPr>
        <xdr:cNvPr id="1612" name="BarterBtn_4_541_2" descr="8|541|2">
          <a:extLst>
            <a:ext uri="{FF2B5EF4-FFF2-40B4-BE49-F238E27FC236}">
              <a16:creationId xmlns:a16="http://schemas.microsoft.com/office/drawing/2014/main" id="{D8CF0417-DDCE-3F7C-1736-61D60BC83E43}"/>
            </a:ext>
          </a:extLst>
        </xdr:cNvPr>
        <xdr:cNvSpPr/>
      </xdr:nvSpPr>
      <xdr:spPr>
        <a:xfrm>
          <a:off x="8013700" y="212324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547</xdr:row>
      <xdr:rowOff>12700</xdr:rowOff>
    </xdr:from>
    <xdr:to>
      <xdr:col>7</xdr:col>
      <xdr:colOff>673100</xdr:colOff>
      <xdr:row>547</xdr:row>
      <xdr:rowOff>168275</xdr:rowOff>
    </xdr:to>
    <xdr:sp macro="[0]!SelectBarterOffer" textlink="">
      <xdr:nvSpPr>
        <xdr:cNvPr id="1613" name="BarterBtn_4_548_1" descr="8|548|1">
          <a:extLst>
            <a:ext uri="{FF2B5EF4-FFF2-40B4-BE49-F238E27FC236}">
              <a16:creationId xmlns:a16="http://schemas.microsoft.com/office/drawing/2014/main" id="{49C0AB1C-B5B3-3BDB-F362-D5A34485AC62}"/>
            </a:ext>
          </a:extLst>
        </xdr:cNvPr>
        <xdr:cNvSpPr/>
      </xdr:nvSpPr>
      <xdr:spPr>
        <a:xfrm>
          <a:off x="5956300" y="215077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547</xdr:row>
      <xdr:rowOff>12700</xdr:rowOff>
    </xdr:from>
    <xdr:to>
      <xdr:col>10</xdr:col>
      <xdr:colOff>673100</xdr:colOff>
      <xdr:row>547</xdr:row>
      <xdr:rowOff>168275</xdr:rowOff>
    </xdr:to>
    <xdr:sp macro="[0]!SelectBarterOffer" textlink="">
      <xdr:nvSpPr>
        <xdr:cNvPr id="1614" name="BarterBtn_4_548_2" descr="8|548|2">
          <a:extLst>
            <a:ext uri="{FF2B5EF4-FFF2-40B4-BE49-F238E27FC236}">
              <a16:creationId xmlns:a16="http://schemas.microsoft.com/office/drawing/2014/main" id="{71585BDC-EA98-C0B4-FBDE-00C60D1D91B7}"/>
            </a:ext>
          </a:extLst>
        </xdr:cNvPr>
        <xdr:cNvSpPr/>
      </xdr:nvSpPr>
      <xdr:spPr>
        <a:xfrm>
          <a:off x="8013700" y="215077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554</xdr:row>
      <xdr:rowOff>12700</xdr:rowOff>
    </xdr:from>
    <xdr:to>
      <xdr:col>7</xdr:col>
      <xdr:colOff>673100</xdr:colOff>
      <xdr:row>554</xdr:row>
      <xdr:rowOff>168275</xdr:rowOff>
    </xdr:to>
    <xdr:sp macro="[0]!SelectBarterOffer" textlink="">
      <xdr:nvSpPr>
        <xdr:cNvPr id="1615" name="BarterBtn_4_555_1" descr="8|555|1">
          <a:extLst>
            <a:ext uri="{FF2B5EF4-FFF2-40B4-BE49-F238E27FC236}">
              <a16:creationId xmlns:a16="http://schemas.microsoft.com/office/drawing/2014/main" id="{0CC04670-CE7D-7CE8-2ED0-AB0F2FC3CD72}"/>
            </a:ext>
          </a:extLst>
        </xdr:cNvPr>
        <xdr:cNvSpPr/>
      </xdr:nvSpPr>
      <xdr:spPr>
        <a:xfrm>
          <a:off x="5956300" y="217830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554</xdr:row>
      <xdr:rowOff>12700</xdr:rowOff>
    </xdr:from>
    <xdr:to>
      <xdr:col>10</xdr:col>
      <xdr:colOff>673100</xdr:colOff>
      <xdr:row>554</xdr:row>
      <xdr:rowOff>168275</xdr:rowOff>
    </xdr:to>
    <xdr:sp macro="[0]!SelectBarterOffer" textlink="">
      <xdr:nvSpPr>
        <xdr:cNvPr id="1616" name="BarterBtn_4_555_2" descr="8|555|2">
          <a:extLst>
            <a:ext uri="{FF2B5EF4-FFF2-40B4-BE49-F238E27FC236}">
              <a16:creationId xmlns:a16="http://schemas.microsoft.com/office/drawing/2014/main" id="{08E4C326-4C98-3642-4C15-8402B54ADA74}"/>
            </a:ext>
          </a:extLst>
        </xdr:cNvPr>
        <xdr:cNvSpPr/>
      </xdr:nvSpPr>
      <xdr:spPr>
        <a:xfrm>
          <a:off x="8013700" y="217830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561</xdr:row>
      <xdr:rowOff>12700</xdr:rowOff>
    </xdr:from>
    <xdr:to>
      <xdr:col>7</xdr:col>
      <xdr:colOff>673100</xdr:colOff>
      <xdr:row>561</xdr:row>
      <xdr:rowOff>168275</xdr:rowOff>
    </xdr:to>
    <xdr:sp macro="[0]!SelectBarterOffer" textlink="">
      <xdr:nvSpPr>
        <xdr:cNvPr id="1617" name="BarterBtn_4_562_1" descr="8|562|1">
          <a:extLst>
            <a:ext uri="{FF2B5EF4-FFF2-40B4-BE49-F238E27FC236}">
              <a16:creationId xmlns:a16="http://schemas.microsoft.com/office/drawing/2014/main" id="{96AE2D68-D84C-49C2-8E15-261769349502}"/>
            </a:ext>
          </a:extLst>
        </xdr:cNvPr>
        <xdr:cNvSpPr/>
      </xdr:nvSpPr>
      <xdr:spPr>
        <a:xfrm>
          <a:off x="5956300" y="220583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561</xdr:row>
      <xdr:rowOff>12700</xdr:rowOff>
    </xdr:from>
    <xdr:to>
      <xdr:col>10</xdr:col>
      <xdr:colOff>673100</xdr:colOff>
      <xdr:row>561</xdr:row>
      <xdr:rowOff>168275</xdr:rowOff>
    </xdr:to>
    <xdr:sp macro="[0]!SelectBarterOffer" textlink="">
      <xdr:nvSpPr>
        <xdr:cNvPr id="1618" name="BarterBtn_4_562_2" descr="8|562|2">
          <a:extLst>
            <a:ext uri="{FF2B5EF4-FFF2-40B4-BE49-F238E27FC236}">
              <a16:creationId xmlns:a16="http://schemas.microsoft.com/office/drawing/2014/main" id="{F3B89151-0693-F199-44E2-F161CE357B83}"/>
            </a:ext>
          </a:extLst>
        </xdr:cNvPr>
        <xdr:cNvSpPr/>
      </xdr:nvSpPr>
      <xdr:spPr>
        <a:xfrm>
          <a:off x="8013700" y="220583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568</xdr:row>
      <xdr:rowOff>12700</xdr:rowOff>
    </xdr:from>
    <xdr:to>
      <xdr:col>7</xdr:col>
      <xdr:colOff>673100</xdr:colOff>
      <xdr:row>568</xdr:row>
      <xdr:rowOff>168275</xdr:rowOff>
    </xdr:to>
    <xdr:sp macro="[0]!SelectBarterOffer" textlink="">
      <xdr:nvSpPr>
        <xdr:cNvPr id="1619" name="BarterBtn_4_569_1" descr="8|569|1">
          <a:extLst>
            <a:ext uri="{FF2B5EF4-FFF2-40B4-BE49-F238E27FC236}">
              <a16:creationId xmlns:a16="http://schemas.microsoft.com/office/drawing/2014/main" id="{CD27766B-E493-F5C7-0B30-101AE074E88F}"/>
            </a:ext>
          </a:extLst>
        </xdr:cNvPr>
        <xdr:cNvSpPr/>
      </xdr:nvSpPr>
      <xdr:spPr>
        <a:xfrm>
          <a:off x="5956300" y="223335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568</xdr:row>
      <xdr:rowOff>12700</xdr:rowOff>
    </xdr:from>
    <xdr:to>
      <xdr:col>10</xdr:col>
      <xdr:colOff>673100</xdr:colOff>
      <xdr:row>568</xdr:row>
      <xdr:rowOff>168275</xdr:rowOff>
    </xdr:to>
    <xdr:sp macro="[0]!SelectBarterOffer" textlink="">
      <xdr:nvSpPr>
        <xdr:cNvPr id="1620" name="BarterBtn_4_569_2" descr="8|569|2">
          <a:extLst>
            <a:ext uri="{FF2B5EF4-FFF2-40B4-BE49-F238E27FC236}">
              <a16:creationId xmlns:a16="http://schemas.microsoft.com/office/drawing/2014/main" id="{A13381B0-442C-B0B7-5D23-12F7B2C7554B}"/>
            </a:ext>
          </a:extLst>
        </xdr:cNvPr>
        <xdr:cNvSpPr/>
      </xdr:nvSpPr>
      <xdr:spPr>
        <a:xfrm>
          <a:off x="8013700" y="223335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575</xdr:row>
      <xdr:rowOff>12700</xdr:rowOff>
    </xdr:from>
    <xdr:to>
      <xdr:col>7</xdr:col>
      <xdr:colOff>673100</xdr:colOff>
      <xdr:row>575</xdr:row>
      <xdr:rowOff>168275</xdr:rowOff>
    </xdr:to>
    <xdr:sp macro="[0]!SelectBarterOffer" textlink="">
      <xdr:nvSpPr>
        <xdr:cNvPr id="1621" name="BarterBtn_4_576_1" descr="8|576|1">
          <a:extLst>
            <a:ext uri="{FF2B5EF4-FFF2-40B4-BE49-F238E27FC236}">
              <a16:creationId xmlns:a16="http://schemas.microsoft.com/office/drawing/2014/main" id="{374A2660-00C1-69DC-8CED-D69E936AC68B}"/>
            </a:ext>
          </a:extLst>
        </xdr:cNvPr>
        <xdr:cNvSpPr/>
      </xdr:nvSpPr>
      <xdr:spPr>
        <a:xfrm>
          <a:off x="5956300" y="226088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575</xdr:row>
      <xdr:rowOff>12700</xdr:rowOff>
    </xdr:from>
    <xdr:to>
      <xdr:col>10</xdr:col>
      <xdr:colOff>673100</xdr:colOff>
      <xdr:row>575</xdr:row>
      <xdr:rowOff>168275</xdr:rowOff>
    </xdr:to>
    <xdr:sp macro="[0]!SelectBarterOffer" textlink="">
      <xdr:nvSpPr>
        <xdr:cNvPr id="1622" name="BarterBtn_4_576_2" descr="8|576|2">
          <a:extLst>
            <a:ext uri="{FF2B5EF4-FFF2-40B4-BE49-F238E27FC236}">
              <a16:creationId xmlns:a16="http://schemas.microsoft.com/office/drawing/2014/main" id="{1B1F3668-8B0E-16B7-6459-AAA0750BC781}"/>
            </a:ext>
          </a:extLst>
        </xdr:cNvPr>
        <xdr:cNvSpPr/>
      </xdr:nvSpPr>
      <xdr:spPr>
        <a:xfrm>
          <a:off x="8013700" y="226088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582</xdr:row>
      <xdr:rowOff>12700</xdr:rowOff>
    </xdr:from>
    <xdr:to>
      <xdr:col>7</xdr:col>
      <xdr:colOff>673100</xdr:colOff>
      <xdr:row>582</xdr:row>
      <xdr:rowOff>168275</xdr:rowOff>
    </xdr:to>
    <xdr:sp macro="[0]!SelectBarterOffer" textlink="">
      <xdr:nvSpPr>
        <xdr:cNvPr id="1623" name="BarterBtn_4_583_1" descr="8|583|1">
          <a:extLst>
            <a:ext uri="{FF2B5EF4-FFF2-40B4-BE49-F238E27FC236}">
              <a16:creationId xmlns:a16="http://schemas.microsoft.com/office/drawing/2014/main" id="{59393C40-754E-165A-1958-FAC921DE3F36}"/>
            </a:ext>
          </a:extLst>
        </xdr:cNvPr>
        <xdr:cNvSpPr/>
      </xdr:nvSpPr>
      <xdr:spPr>
        <a:xfrm>
          <a:off x="5956300" y="228841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589</xdr:row>
      <xdr:rowOff>12700</xdr:rowOff>
    </xdr:from>
    <xdr:to>
      <xdr:col>7</xdr:col>
      <xdr:colOff>673100</xdr:colOff>
      <xdr:row>589</xdr:row>
      <xdr:rowOff>168275</xdr:rowOff>
    </xdr:to>
    <xdr:sp macro="[0]!SelectBarterOffer" textlink="">
      <xdr:nvSpPr>
        <xdr:cNvPr id="1624" name="BarterBtn_4_590_1" descr="8|590|1">
          <a:extLst>
            <a:ext uri="{FF2B5EF4-FFF2-40B4-BE49-F238E27FC236}">
              <a16:creationId xmlns:a16="http://schemas.microsoft.com/office/drawing/2014/main" id="{AF659813-14A1-797B-5219-4D2B1DDCE4E8}"/>
            </a:ext>
          </a:extLst>
        </xdr:cNvPr>
        <xdr:cNvSpPr/>
      </xdr:nvSpPr>
      <xdr:spPr>
        <a:xfrm>
          <a:off x="5956300" y="231594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596</xdr:row>
      <xdr:rowOff>12700</xdr:rowOff>
    </xdr:from>
    <xdr:to>
      <xdr:col>7</xdr:col>
      <xdr:colOff>673100</xdr:colOff>
      <xdr:row>596</xdr:row>
      <xdr:rowOff>168275</xdr:rowOff>
    </xdr:to>
    <xdr:sp macro="[0]!SelectBarterOffer" textlink="">
      <xdr:nvSpPr>
        <xdr:cNvPr id="1625" name="BarterBtn_4_597_1" descr="8|597|1">
          <a:extLst>
            <a:ext uri="{FF2B5EF4-FFF2-40B4-BE49-F238E27FC236}">
              <a16:creationId xmlns:a16="http://schemas.microsoft.com/office/drawing/2014/main" id="{24F939BB-BC54-FDA0-FF2E-9A955DADB4A1}"/>
            </a:ext>
          </a:extLst>
        </xdr:cNvPr>
        <xdr:cNvSpPr/>
      </xdr:nvSpPr>
      <xdr:spPr>
        <a:xfrm>
          <a:off x="5956300" y="234346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603</xdr:row>
      <xdr:rowOff>12700</xdr:rowOff>
    </xdr:from>
    <xdr:to>
      <xdr:col>7</xdr:col>
      <xdr:colOff>673100</xdr:colOff>
      <xdr:row>603</xdr:row>
      <xdr:rowOff>168275</xdr:rowOff>
    </xdr:to>
    <xdr:sp macro="[0]!SelectBarterOffer" textlink="">
      <xdr:nvSpPr>
        <xdr:cNvPr id="1626" name="BarterBtn_4_604_1" descr="8|604|1">
          <a:extLst>
            <a:ext uri="{FF2B5EF4-FFF2-40B4-BE49-F238E27FC236}">
              <a16:creationId xmlns:a16="http://schemas.microsoft.com/office/drawing/2014/main" id="{F3299CE2-CFF3-B810-C3EC-B88CFCBE2CE6}"/>
            </a:ext>
          </a:extLst>
        </xdr:cNvPr>
        <xdr:cNvSpPr/>
      </xdr:nvSpPr>
      <xdr:spPr>
        <a:xfrm>
          <a:off x="5956300" y="237099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610</xdr:row>
      <xdr:rowOff>12700</xdr:rowOff>
    </xdr:from>
    <xdr:to>
      <xdr:col>7</xdr:col>
      <xdr:colOff>673100</xdr:colOff>
      <xdr:row>610</xdr:row>
      <xdr:rowOff>168275</xdr:rowOff>
    </xdr:to>
    <xdr:sp macro="[0]!SelectBarterOffer" textlink="">
      <xdr:nvSpPr>
        <xdr:cNvPr id="1627" name="BarterBtn_4_611_1" descr="8|611|1">
          <a:extLst>
            <a:ext uri="{FF2B5EF4-FFF2-40B4-BE49-F238E27FC236}">
              <a16:creationId xmlns:a16="http://schemas.microsoft.com/office/drawing/2014/main" id="{67F22102-D57B-8EF3-9FC7-1EFF430370A2}"/>
            </a:ext>
          </a:extLst>
        </xdr:cNvPr>
        <xdr:cNvSpPr/>
      </xdr:nvSpPr>
      <xdr:spPr>
        <a:xfrm>
          <a:off x="5956300" y="239852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617</xdr:row>
      <xdr:rowOff>12700</xdr:rowOff>
    </xdr:from>
    <xdr:to>
      <xdr:col>7</xdr:col>
      <xdr:colOff>673100</xdr:colOff>
      <xdr:row>617</xdr:row>
      <xdr:rowOff>168275</xdr:rowOff>
    </xdr:to>
    <xdr:sp macro="[0]!SelectBarterOffer" textlink="">
      <xdr:nvSpPr>
        <xdr:cNvPr id="1628" name="BarterBtn_4_618_1" descr="8|618|1">
          <a:extLst>
            <a:ext uri="{FF2B5EF4-FFF2-40B4-BE49-F238E27FC236}">
              <a16:creationId xmlns:a16="http://schemas.microsoft.com/office/drawing/2014/main" id="{2D9176DA-8819-74D5-ED89-15AD53526DBD}"/>
            </a:ext>
          </a:extLst>
        </xdr:cNvPr>
        <xdr:cNvSpPr/>
      </xdr:nvSpPr>
      <xdr:spPr>
        <a:xfrm>
          <a:off x="5956300" y="242604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624</xdr:row>
      <xdr:rowOff>12700</xdr:rowOff>
    </xdr:from>
    <xdr:to>
      <xdr:col>7</xdr:col>
      <xdr:colOff>673100</xdr:colOff>
      <xdr:row>624</xdr:row>
      <xdr:rowOff>168275</xdr:rowOff>
    </xdr:to>
    <xdr:sp macro="[0]!SelectBarterOffer" textlink="">
      <xdr:nvSpPr>
        <xdr:cNvPr id="1629" name="BarterBtn_4_625_1" descr="8|625|1">
          <a:extLst>
            <a:ext uri="{FF2B5EF4-FFF2-40B4-BE49-F238E27FC236}">
              <a16:creationId xmlns:a16="http://schemas.microsoft.com/office/drawing/2014/main" id="{5712F95E-B72B-2140-298B-0FB56260599A}"/>
            </a:ext>
          </a:extLst>
        </xdr:cNvPr>
        <xdr:cNvSpPr/>
      </xdr:nvSpPr>
      <xdr:spPr>
        <a:xfrm>
          <a:off x="5956300" y="245357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631</xdr:row>
      <xdr:rowOff>12700</xdr:rowOff>
    </xdr:from>
    <xdr:to>
      <xdr:col>7</xdr:col>
      <xdr:colOff>673100</xdr:colOff>
      <xdr:row>631</xdr:row>
      <xdr:rowOff>168275</xdr:rowOff>
    </xdr:to>
    <xdr:sp macro="[0]!SelectBarterOffer" textlink="">
      <xdr:nvSpPr>
        <xdr:cNvPr id="1630" name="BarterBtn_4_632_1" descr="8|632|1">
          <a:extLst>
            <a:ext uri="{FF2B5EF4-FFF2-40B4-BE49-F238E27FC236}">
              <a16:creationId xmlns:a16="http://schemas.microsoft.com/office/drawing/2014/main" id="{7EFA39B3-1F66-5CB0-1B64-235BFB91A447}"/>
            </a:ext>
          </a:extLst>
        </xdr:cNvPr>
        <xdr:cNvSpPr/>
      </xdr:nvSpPr>
      <xdr:spPr>
        <a:xfrm>
          <a:off x="5956300" y="248110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638</xdr:row>
      <xdr:rowOff>12700</xdr:rowOff>
    </xdr:from>
    <xdr:to>
      <xdr:col>7</xdr:col>
      <xdr:colOff>673100</xdr:colOff>
      <xdr:row>638</xdr:row>
      <xdr:rowOff>168275</xdr:rowOff>
    </xdr:to>
    <xdr:sp macro="[0]!SelectBarterOffer" textlink="">
      <xdr:nvSpPr>
        <xdr:cNvPr id="1631" name="BarterBtn_4_639_1" descr="8|639|1">
          <a:extLst>
            <a:ext uri="{FF2B5EF4-FFF2-40B4-BE49-F238E27FC236}">
              <a16:creationId xmlns:a16="http://schemas.microsoft.com/office/drawing/2014/main" id="{B9FA2E98-1FD3-42BA-E7E2-F5D451A24BAF}"/>
            </a:ext>
          </a:extLst>
        </xdr:cNvPr>
        <xdr:cNvSpPr/>
      </xdr:nvSpPr>
      <xdr:spPr>
        <a:xfrm>
          <a:off x="5956300" y="250863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645</xdr:row>
      <xdr:rowOff>12700</xdr:rowOff>
    </xdr:from>
    <xdr:to>
      <xdr:col>7</xdr:col>
      <xdr:colOff>673100</xdr:colOff>
      <xdr:row>645</xdr:row>
      <xdr:rowOff>168275</xdr:rowOff>
    </xdr:to>
    <xdr:sp macro="[0]!SelectBarterOffer" textlink="">
      <xdr:nvSpPr>
        <xdr:cNvPr id="1632" name="BarterBtn_4_646_1" descr="8|646|1">
          <a:extLst>
            <a:ext uri="{FF2B5EF4-FFF2-40B4-BE49-F238E27FC236}">
              <a16:creationId xmlns:a16="http://schemas.microsoft.com/office/drawing/2014/main" id="{1A956686-9010-0B9F-F0C3-5E506EC36C7A}"/>
            </a:ext>
          </a:extLst>
        </xdr:cNvPr>
        <xdr:cNvSpPr/>
      </xdr:nvSpPr>
      <xdr:spPr>
        <a:xfrm>
          <a:off x="5956300" y="253615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652</xdr:row>
      <xdr:rowOff>12700</xdr:rowOff>
    </xdr:from>
    <xdr:to>
      <xdr:col>7</xdr:col>
      <xdr:colOff>673100</xdr:colOff>
      <xdr:row>652</xdr:row>
      <xdr:rowOff>168275</xdr:rowOff>
    </xdr:to>
    <xdr:sp macro="[0]!SelectBarterOffer" textlink="">
      <xdr:nvSpPr>
        <xdr:cNvPr id="1633" name="BarterBtn_4_653_1" descr="8|653|1">
          <a:extLst>
            <a:ext uri="{FF2B5EF4-FFF2-40B4-BE49-F238E27FC236}">
              <a16:creationId xmlns:a16="http://schemas.microsoft.com/office/drawing/2014/main" id="{9D1DC5F8-C8B5-BBEC-B81F-BD264627DF13}"/>
            </a:ext>
          </a:extLst>
        </xdr:cNvPr>
        <xdr:cNvSpPr/>
      </xdr:nvSpPr>
      <xdr:spPr>
        <a:xfrm>
          <a:off x="5956300" y="256368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659</xdr:row>
      <xdr:rowOff>12700</xdr:rowOff>
    </xdr:from>
    <xdr:to>
      <xdr:col>7</xdr:col>
      <xdr:colOff>673100</xdr:colOff>
      <xdr:row>659</xdr:row>
      <xdr:rowOff>168275</xdr:rowOff>
    </xdr:to>
    <xdr:sp macro="[0]!SelectBarterOffer" textlink="">
      <xdr:nvSpPr>
        <xdr:cNvPr id="1634" name="BarterBtn_4_660_1" descr="8|660|1">
          <a:extLst>
            <a:ext uri="{FF2B5EF4-FFF2-40B4-BE49-F238E27FC236}">
              <a16:creationId xmlns:a16="http://schemas.microsoft.com/office/drawing/2014/main" id="{C1EB809F-EDA4-6274-36D7-74A9D44D4AE4}"/>
            </a:ext>
          </a:extLst>
        </xdr:cNvPr>
        <xdr:cNvSpPr/>
      </xdr:nvSpPr>
      <xdr:spPr>
        <a:xfrm>
          <a:off x="5956300" y="259121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666</xdr:row>
      <xdr:rowOff>12700</xdr:rowOff>
    </xdr:from>
    <xdr:to>
      <xdr:col>7</xdr:col>
      <xdr:colOff>673100</xdr:colOff>
      <xdr:row>666</xdr:row>
      <xdr:rowOff>168275</xdr:rowOff>
    </xdr:to>
    <xdr:sp macro="[0]!SelectBarterOffer" textlink="">
      <xdr:nvSpPr>
        <xdr:cNvPr id="1635" name="BarterBtn_4_667_1" descr="8|667|1">
          <a:extLst>
            <a:ext uri="{FF2B5EF4-FFF2-40B4-BE49-F238E27FC236}">
              <a16:creationId xmlns:a16="http://schemas.microsoft.com/office/drawing/2014/main" id="{82C764A5-7380-AB3D-7740-74FFF172D678}"/>
            </a:ext>
          </a:extLst>
        </xdr:cNvPr>
        <xdr:cNvSpPr/>
      </xdr:nvSpPr>
      <xdr:spPr>
        <a:xfrm>
          <a:off x="5956300" y="261874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666</xdr:row>
      <xdr:rowOff>12700</xdr:rowOff>
    </xdr:from>
    <xdr:to>
      <xdr:col>10</xdr:col>
      <xdr:colOff>673100</xdr:colOff>
      <xdr:row>666</xdr:row>
      <xdr:rowOff>168275</xdr:rowOff>
    </xdr:to>
    <xdr:sp macro="[0]!SelectBarterOffer" textlink="">
      <xdr:nvSpPr>
        <xdr:cNvPr id="1636" name="BarterBtn_4_667_2" descr="8|667|2">
          <a:extLst>
            <a:ext uri="{FF2B5EF4-FFF2-40B4-BE49-F238E27FC236}">
              <a16:creationId xmlns:a16="http://schemas.microsoft.com/office/drawing/2014/main" id="{1CED6ACF-E1C4-16A6-DFF5-E246ABD6C7F5}"/>
            </a:ext>
          </a:extLst>
        </xdr:cNvPr>
        <xdr:cNvSpPr/>
      </xdr:nvSpPr>
      <xdr:spPr>
        <a:xfrm>
          <a:off x="8013700" y="261874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673</xdr:row>
      <xdr:rowOff>12700</xdr:rowOff>
    </xdr:from>
    <xdr:to>
      <xdr:col>7</xdr:col>
      <xdr:colOff>673100</xdr:colOff>
      <xdr:row>673</xdr:row>
      <xdr:rowOff>168275</xdr:rowOff>
    </xdr:to>
    <xdr:sp macro="[0]!SelectBarterOffer" textlink="">
      <xdr:nvSpPr>
        <xdr:cNvPr id="1637" name="BarterBtn_4_674_1" descr="8|674|1">
          <a:extLst>
            <a:ext uri="{FF2B5EF4-FFF2-40B4-BE49-F238E27FC236}">
              <a16:creationId xmlns:a16="http://schemas.microsoft.com/office/drawing/2014/main" id="{CF7A1695-472C-0BD6-466D-D6CBF2D0B377}"/>
            </a:ext>
          </a:extLst>
        </xdr:cNvPr>
        <xdr:cNvSpPr/>
      </xdr:nvSpPr>
      <xdr:spPr>
        <a:xfrm>
          <a:off x="5956300" y="264626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673</xdr:row>
      <xdr:rowOff>12700</xdr:rowOff>
    </xdr:from>
    <xdr:to>
      <xdr:col>10</xdr:col>
      <xdr:colOff>673100</xdr:colOff>
      <xdr:row>673</xdr:row>
      <xdr:rowOff>168275</xdr:rowOff>
    </xdr:to>
    <xdr:sp macro="[0]!SelectBarterOffer" textlink="">
      <xdr:nvSpPr>
        <xdr:cNvPr id="1638" name="BarterBtn_4_674_2" descr="8|674|2">
          <a:extLst>
            <a:ext uri="{FF2B5EF4-FFF2-40B4-BE49-F238E27FC236}">
              <a16:creationId xmlns:a16="http://schemas.microsoft.com/office/drawing/2014/main" id="{9A18EC4D-17A8-C035-856B-DBFF1A4CF686}"/>
            </a:ext>
          </a:extLst>
        </xdr:cNvPr>
        <xdr:cNvSpPr/>
      </xdr:nvSpPr>
      <xdr:spPr>
        <a:xfrm>
          <a:off x="8013700" y="264626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680</xdr:row>
      <xdr:rowOff>12700</xdr:rowOff>
    </xdr:from>
    <xdr:to>
      <xdr:col>7</xdr:col>
      <xdr:colOff>673100</xdr:colOff>
      <xdr:row>680</xdr:row>
      <xdr:rowOff>168275</xdr:rowOff>
    </xdr:to>
    <xdr:sp macro="[0]!SelectBarterOffer" textlink="">
      <xdr:nvSpPr>
        <xdr:cNvPr id="1639" name="BarterBtn_4_681_1" descr="8|681|1">
          <a:extLst>
            <a:ext uri="{FF2B5EF4-FFF2-40B4-BE49-F238E27FC236}">
              <a16:creationId xmlns:a16="http://schemas.microsoft.com/office/drawing/2014/main" id="{2BFDAC8A-1B48-5B59-C727-6A3A6AD24C3F}"/>
            </a:ext>
          </a:extLst>
        </xdr:cNvPr>
        <xdr:cNvSpPr/>
      </xdr:nvSpPr>
      <xdr:spPr>
        <a:xfrm>
          <a:off x="5956300" y="267379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680</xdr:row>
      <xdr:rowOff>12700</xdr:rowOff>
    </xdr:from>
    <xdr:to>
      <xdr:col>10</xdr:col>
      <xdr:colOff>673100</xdr:colOff>
      <xdr:row>680</xdr:row>
      <xdr:rowOff>168275</xdr:rowOff>
    </xdr:to>
    <xdr:sp macro="[0]!SelectBarterOffer" textlink="">
      <xdr:nvSpPr>
        <xdr:cNvPr id="1640" name="BarterBtn_4_681_2" descr="8|681|2">
          <a:extLst>
            <a:ext uri="{FF2B5EF4-FFF2-40B4-BE49-F238E27FC236}">
              <a16:creationId xmlns:a16="http://schemas.microsoft.com/office/drawing/2014/main" id="{63F74926-9501-E4DE-7966-B22C8704F714}"/>
            </a:ext>
          </a:extLst>
        </xdr:cNvPr>
        <xdr:cNvSpPr/>
      </xdr:nvSpPr>
      <xdr:spPr>
        <a:xfrm>
          <a:off x="8013700" y="2673794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687</xdr:row>
      <xdr:rowOff>12700</xdr:rowOff>
    </xdr:from>
    <xdr:to>
      <xdr:col>7</xdr:col>
      <xdr:colOff>673100</xdr:colOff>
      <xdr:row>687</xdr:row>
      <xdr:rowOff>168275</xdr:rowOff>
    </xdr:to>
    <xdr:sp macro="[0]!SelectBarterOffer" textlink="">
      <xdr:nvSpPr>
        <xdr:cNvPr id="1641" name="BarterBtn_4_688_1" descr="8|688|1">
          <a:extLst>
            <a:ext uri="{FF2B5EF4-FFF2-40B4-BE49-F238E27FC236}">
              <a16:creationId xmlns:a16="http://schemas.microsoft.com/office/drawing/2014/main" id="{3E252305-235B-973A-83ED-7A70F8C2C00E}"/>
            </a:ext>
          </a:extLst>
        </xdr:cNvPr>
        <xdr:cNvSpPr/>
      </xdr:nvSpPr>
      <xdr:spPr>
        <a:xfrm>
          <a:off x="5956300" y="270132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687</xdr:row>
      <xdr:rowOff>12700</xdr:rowOff>
    </xdr:from>
    <xdr:to>
      <xdr:col>10</xdr:col>
      <xdr:colOff>673100</xdr:colOff>
      <xdr:row>687</xdr:row>
      <xdr:rowOff>168275</xdr:rowOff>
    </xdr:to>
    <xdr:sp macro="[0]!SelectBarterOffer" textlink="">
      <xdr:nvSpPr>
        <xdr:cNvPr id="1642" name="BarterBtn_4_688_2" descr="8|688|2">
          <a:extLst>
            <a:ext uri="{FF2B5EF4-FFF2-40B4-BE49-F238E27FC236}">
              <a16:creationId xmlns:a16="http://schemas.microsoft.com/office/drawing/2014/main" id="{E0E4DD69-5D45-64A2-5B73-7433BB6BAD12}"/>
            </a:ext>
          </a:extLst>
        </xdr:cNvPr>
        <xdr:cNvSpPr/>
      </xdr:nvSpPr>
      <xdr:spPr>
        <a:xfrm>
          <a:off x="8013700" y="2701321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694</xdr:row>
      <xdr:rowOff>12700</xdr:rowOff>
    </xdr:from>
    <xdr:to>
      <xdr:col>7</xdr:col>
      <xdr:colOff>673100</xdr:colOff>
      <xdr:row>694</xdr:row>
      <xdr:rowOff>168275</xdr:rowOff>
    </xdr:to>
    <xdr:sp macro="[0]!SelectBarterOffer" textlink="">
      <xdr:nvSpPr>
        <xdr:cNvPr id="1643" name="BarterBtn_4_695_1" descr="8|695|1">
          <a:extLst>
            <a:ext uri="{FF2B5EF4-FFF2-40B4-BE49-F238E27FC236}">
              <a16:creationId xmlns:a16="http://schemas.microsoft.com/office/drawing/2014/main" id="{7EDBDE41-3918-E022-B90F-297B4DA40454}"/>
            </a:ext>
          </a:extLst>
        </xdr:cNvPr>
        <xdr:cNvSpPr/>
      </xdr:nvSpPr>
      <xdr:spPr>
        <a:xfrm>
          <a:off x="5956300" y="2728849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701</xdr:row>
      <xdr:rowOff>12700</xdr:rowOff>
    </xdr:from>
    <xdr:to>
      <xdr:col>7</xdr:col>
      <xdr:colOff>673100</xdr:colOff>
      <xdr:row>701</xdr:row>
      <xdr:rowOff>168275</xdr:rowOff>
    </xdr:to>
    <xdr:sp macro="[0]!SelectBarterOffer" textlink="">
      <xdr:nvSpPr>
        <xdr:cNvPr id="1644" name="BarterBtn_4_702_1" descr="8|702|1">
          <a:extLst>
            <a:ext uri="{FF2B5EF4-FFF2-40B4-BE49-F238E27FC236}">
              <a16:creationId xmlns:a16="http://schemas.microsoft.com/office/drawing/2014/main" id="{22B1D3DD-600E-36F3-10DF-8434C23005B8}"/>
            </a:ext>
          </a:extLst>
        </xdr:cNvPr>
        <xdr:cNvSpPr/>
      </xdr:nvSpPr>
      <xdr:spPr>
        <a:xfrm>
          <a:off x="5956300" y="2756376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708</xdr:row>
      <xdr:rowOff>12700</xdr:rowOff>
    </xdr:from>
    <xdr:to>
      <xdr:col>7</xdr:col>
      <xdr:colOff>673100</xdr:colOff>
      <xdr:row>708</xdr:row>
      <xdr:rowOff>168275</xdr:rowOff>
    </xdr:to>
    <xdr:sp macro="[0]!SelectBarterOffer" textlink="">
      <xdr:nvSpPr>
        <xdr:cNvPr id="1645" name="BarterBtn_4_709_1" descr="8|709|1">
          <a:extLst>
            <a:ext uri="{FF2B5EF4-FFF2-40B4-BE49-F238E27FC236}">
              <a16:creationId xmlns:a16="http://schemas.microsoft.com/office/drawing/2014/main" id="{480271FC-9AF5-5A0D-38D6-A4D032833C8F}"/>
            </a:ext>
          </a:extLst>
        </xdr:cNvPr>
        <xdr:cNvSpPr/>
      </xdr:nvSpPr>
      <xdr:spPr>
        <a:xfrm>
          <a:off x="5956300" y="2783903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715</xdr:row>
      <xdr:rowOff>12700</xdr:rowOff>
    </xdr:from>
    <xdr:to>
      <xdr:col>7</xdr:col>
      <xdr:colOff>673100</xdr:colOff>
      <xdr:row>715</xdr:row>
      <xdr:rowOff>168275</xdr:rowOff>
    </xdr:to>
    <xdr:sp macro="[0]!SelectBarterOffer" textlink="">
      <xdr:nvSpPr>
        <xdr:cNvPr id="1646" name="BarterBtn_4_716_1" descr="8|716|1">
          <a:extLst>
            <a:ext uri="{FF2B5EF4-FFF2-40B4-BE49-F238E27FC236}">
              <a16:creationId xmlns:a16="http://schemas.microsoft.com/office/drawing/2014/main" id="{A5D4E584-7BBF-2D7B-72DA-20E0A409B1C4}"/>
            </a:ext>
          </a:extLst>
        </xdr:cNvPr>
        <xdr:cNvSpPr/>
      </xdr:nvSpPr>
      <xdr:spPr>
        <a:xfrm>
          <a:off x="5956300" y="2811430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722</xdr:row>
      <xdr:rowOff>12700</xdr:rowOff>
    </xdr:from>
    <xdr:to>
      <xdr:col>7</xdr:col>
      <xdr:colOff>673100</xdr:colOff>
      <xdr:row>722</xdr:row>
      <xdr:rowOff>168275</xdr:rowOff>
    </xdr:to>
    <xdr:sp macro="[0]!SelectBarterOffer" textlink="">
      <xdr:nvSpPr>
        <xdr:cNvPr id="1647" name="BarterBtn_4_723_1" descr="8|723|1">
          <a:extLst>
            <a:ext uri="{FF2B5EF4-FFF2-40B4-BE49-F238E27FC236}">
              <a16:creationId xmlns:a16="http://schemas.microsoft.com/office/drawing/2014/main" id="{8561E4DA-0E9D-4EF1-6EC5-4746D87080BD}"/>
            </a:ext>
          </a:extLst>
        </xdr:cNvPr>
        <xdr:cNvSpPr/>
      </xdr:nvSpPr>
      <xdr:spPr>
        <a:xfrm>
          <a:off x="5956300" y="283895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722</xdr:row>
      <xdr:rowOff>12700</xdr:rowOff>
    </xdr:from>
    <xdr:to>
      <xdr:col>10</xdr:col>
      <xdr:colOff>673100</xdr:colOff>
      <xdr:row>722</xdr:row>
      <xdr:rowOff>168275</xdr:rowOff>
    </xdr:to>
    <xdr:sp macro="[0]!SelectBarterOffer" textlink="">
      <xdr:nvSpPr>
        <xdr:cNvPr id="1648" name="BarterBtn_4_723_2" descr="8|723|2">
          <a:extLst>
            <a:ext uri="{FF2B5EF4-FFF2-40B4-BE49-F238E27FC236}">
              <a16:creationId xmlns:a16="http://schemas.microsoft.com/office/drawing/2014/main" id="{96EEF5CE-77C3-3F03-A7FC-142A0E731E48}"/>
            </a:ext>
          </a:extLst>
        </xdr:cNvPr>
        <xdr:cNvSpPr/>
      </xdr:nvSpPr>
      <xdr:spPr>
        <a:xfrm>
          <a:off x="8013700" y="2838958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729</xdr:row>
      <xdr:rowOff>12700</xdr:rowOff>
    </xdr:from>
    <xdr:to>
      <xdr:col>7</xdr:col>
      <xdr:colOff>673100</xdr:colOff>
      <xdr:row>729</xdr:row>
      <xdr:rowOff>168275</xdr:rowOff>
    </xdr:to>
    <xdr:sp macro="[0]!SelectBarterOffer" textlink="">
      <xdr:nvSpPr>
        <xdr:cNvPr id="1649" name="BarterBtn_4_730_1" descr="8|730|1">
          <a:extLst>
            <a:ext uri="{FF2B5EF4-FFF2-40B4-BE49-F238E27FC236}">
              <a16:creationId xmlns:a16="http://schemas.microsoft.com/office/drawing/2014/main" id="{BA245452-E584-CCCD-AA11-B89F33E79478}"/>
            </a:ext>
          </a:extLst>
        </xdr:cNvPr>
        <xdr:cNvSpPr/>
      </xdr:nvSpPr>
      <xdr:spPr>
        <a:xfrm>
          <a:off x="5956300" y="286648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729</xdr:row>
      <xdr:rowOff>12700</xdr:rowOff>
    </xdr:from>
    <xdr:to>
      <xdr:col>10</xdr:col>
      <xdr:colOff>673100</xdr:colOff>
      <xdr:row>729</xdr:row>
      <xdr:rowOff>168275</xdr:rowOff>
    </xdr:to>
    <xdr:sp macro="[0]!SelectBarterOffer" textlink="">
      <xdr:nvSpPr>
        <xdr:cNvPr id="1650" name="BarterBtn_4_730_2" descr="8|730|2">
          <a:extLst>
            <a:ext uri="{FF2B5EF4-FFF2-40B4-BE49-F238E27FC236}">
              <a16:creationId xmlns:a16="http://schemas.microsoft.com/office/drawing/2014/main" id="{80EF9F8F-A155-B5CD-29A4-15D847DF1C19}"/>
            </a:ext>
          </a:extLst>
        </xdr:cNvPr>
        <xdr:cNvSpPr/>
      </xdr:nvSpPr>
      <xdr:spPr>
        <a:xfrm>
          <a:off x="8013700" y="286648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11</xdr:col>
      <xdr:colOff>12700</xdr:colOff>
      <xdr:row>729</xdr:row>
      <xdr:rowOff>12700</xdr:rowOff>
    </xdr:from>
    <xdr:to>
      <xdr:col>13</xdr:col>
      <xdr:colOff>673100</xdr:colOff>
      <xdr:row>729</xdr:row>
      <xdr:rowOff>168275</xdr:rowOff>
    </xdr:to>
    <xdr:sp macro="[0]!SelectBarterOffer" textlink="">
      <xdr:nvSpPr>
        <xdr:cNvPr id="1651" name="BarterBtn_4_730_3" descr="8|730|3">
          <a:extLst>
            <a:ext uri="{FF2B5EF4-FFF2-40B4-BE49-F238E27FC236}">
              <a16:creationId xmlns:a16="http://schemas.microsoft.com/office/drawing/2014/main" id="{B38FF509-86BF-3F72-A976-ECCF65BABBCB}"/>
            </a:ext>
          </a:extLst>
        </xdr:cNvPr>
        <xdr:cNvSpPr/>
      </xdr:nvSpPr>
      <xdr:spPr>
        <a:xfrm>
          <a:off x="10071100" y="2866485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№3</a:t>
          </a:r>
        </a:p>
      </xdr:txBody>
    </xdr:sp>
    <xdr:clientData/>
  </xdr:twoCellAnchor>
  <xdr:twoCellAnchor>
    <xdr:from>
      <xdr:col>5</xdr:col>
      <xdr:colOff>12700</xdr:colOff>
      <xdr:row>736</xdr:row>
      <xdr:rowOff>12700</xdr:rowOff>
    </xdr:from>
    <xdr:to>
      <xdr:col>7</xdr:col>
      <xdr:colOff>673100</xdr:colOff>
      <xdr:row>736</xdr:row>
      <xdr:rowOff>168275</xdr:rowOff>
    </xdr:to>
    <xdr:sp macro="[0]!SelectBarterOffer" textlink="">
      <xdr:nvSpPr>
        <xdr:cNvPr id="1652" name="BarterBtn_4_737_1" descr="8|737|1">
          <a:extLst>
            <a:ext uri="{FF2B5EF4-FFF2-40B4-BE49-F238E27FC236}">
              <a16:creationId xmlns:a16="http://schemas.microsoft.com/office/drawing/2014/main" id="{ABF9D4B6-1BEF-3E60-FFA7-27AAA44B3C92}"/>
            </a:ext>
          </a:extLst>
        </xdr:cNvPr>
        <xdr:cNvSpPr/>
      </xdr:nvSpPr>
      <xdr:spPr>
        <a:xfrm>
          <a:off x="5956300" y="289401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736</xdr:row>
      <xdr:rowOff>12700</xdr:rowOff>
    </xdr:from>
    <xdr:to>
      <xdr:col>10</xdr:col>
      <xdr:colOff>673100</xdr:colOff>
      <xdr:row>736</xdr:row>
      <xdr:rowOff>168275</xdr:rowOff>
    </xdr:to>
    <xdr:sp macro="[0]!SelectBarterOffer" textlink="">
      <xdr:nvSpPr>
        <xdr:cNvPr id="1653" name="BarterBtn_4_737_2" descr="8|737|2">
          <a:extLst>
            <a:ext uri="{FF2B5EF4-FFF2-40B4-BE49-F238E27FC236}">
              <a16:creationId xmlns:a16="http://schemas.microsoft.com/office/drawing/2014/main" id="{847AED9F-6B9B-7F51-F415-B4FADC3C2E72}"/>
            </a:ext>
          </a:extLst>
        </xdr:cNvPr>
        <xdr:cNvSpPr/>
      </xdr:nvSpPr>
      <xdr:spPr>
        <a:xfrm>
          <a:off x="8013700" y="2894012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743</xdr:row>
      <xdr:rowOff>12700</xdr:rowOff>
    </xdr:from>
    <xdr:to>
      <xdr:col>7</xdr:col>
      <xdr:colOff>673100</xdr:colOff>
      <xdr:row>743</xdr:row>
      <xdr:rowOff>168275</xdr:rowOff>
    </xdr:to>
    <xdr:sp macro="[0]!SelectBarterOffer" textlink="">
      <xdr:nvSpPr>
        <xdr:cNvPr id="1654" name="BarterBtn_4_744_1" descr="8|744|1">
          <a:extLst>
            <a:ext uri="{FF2B5EF4-FFF2-40B4-BE49-F238E27FC236}">
              <a16:creationId xmlns:a16="http://schemas.microsoft.com/office/drawing/2014/main" id="{561BC0C3-358F-0FC8-9F97-F02287A2F2A0}"/>
            </a:ext>
          </a:extLst>
        </xdr:cNvPr>
        <xdr:cNvSpPr/>
      </xdr:nvSpPr>
      <xdr:spPr>
        <a:xfrm>
          <a:off x="5956300" y="2921539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750</xdr:row>
      <xdr:rowOff>12700</xdr:rowOff>
    </xdr:from>
    <xdr:to>
      <xdr:col>7</xdr:col>
      <xdr:colOff>673100</xdr:colOff>
      <xdr:row>750</xdr:row>
      <xdr:rowOff>168275</xdr:rowOff>
    </xdr:to>
    <xdr:sp macro="[0]!SelectBarterOffer" textlink="">
      <xdr:nvSpPr>
        <xdr:cNvPr id="1655" name="BarterBtn_4_751_1" descr="8|751|1">
          <a:extLst>
            <a:ext uri="{FF2B5EF4-FFF2-40B4-BE49-F238E27FC236}">
              <a16:creationId xmlns:a16="http://schemas.microsoft.com/office/drawing/2014/main" id="{E2FC6B85-4453-C6FA-A333-BC9F4ED0B9F5}"/>
            </a:ext>
          </a:extLst>
        </xdr:cNvPr>
        <xdr:cNvSpPr/>
      </xdr:nvSpPr>
      <xdr:spPr>
        <a:xfrm>
          <a:off x="5956300" y="2949067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757</xdr:row>
      <xdr:rowOff>12700</xdr:rowOff>
    </xdr:from>
    <xdr:to>
      <xdr:col>7</xdr:col>
      <xdr:colOff>673100</xdr:colOff>
      <xdr:row>757</xdr:row>
      <xdr:rowOff>168275</xdr:rowOff>
    </xdr:to>
    <xdr:sp macro="[0]!SelectBarterOffer" textlink="">
      <xdr:nvSpPr>
        <xdr:cNvPr id="1656" name="BarterBtn_4_758_1" descr="8|758|1">
          <a:extLst>
            <a:ext uri="{FF2B5EF4-FFF2-40B4-BE49-F238E27FC236}">
              <a16:creationId xmlns:a16="http://schemas.microsoft.com/office/drawing/2014/main" id="{41EAC3A2-838A-D5C2-8574-56281063F078}"/>
            </a:ext>
          </a:extLst>
        </xdr:cNvPr>
        <xdr:cNvSpPr/>
      </xdr:nvSpPr>
      <xdr:spPr>
        <a:xfrm>
          <a:off x="5956300" y="2976594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764</xdr:row>
      <xdr:rowOff>12700</xdr:rowOff>
    </xdr:from>
    <xdr:to>
      <xdr:col>7</xdr:col>
      <xdr:colOff>673100</xdr:colOff>
      <xdr:row>764</xdr:row>
      <xdr:rowOff>168275</xdr:rowOff>
    </xdr:to>
    <xdr:sp macro="[0]!SelectBarterOffer" textlink="">
      <xdr:nvSpPr>
        <xdr:cNvPr id="1657" name="BarterBtn_4_765_1" descr="8|765|1">
          <a:extLst>
            <a:ext uri="{FF2B5EF4-FFF2-40B4-BE49-F238E27FC236}">
              <a16:creationId xmlns:a16="http://schemas.microsoft.com/office/drawing/2014/main" id="{A5B6E700-E503-BEF3-33BE-2284BFEDDF62}"/>
            </a:ext>
          </a:extLst>
        </xdr:cNvPr>
        <xdr:cNvSpPr/>
      </xdr:nvSpPr>
      <xdr:spPr>
        <a:xfrm>
          <a:off x="5956300" y="3004121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771</xdr:row>
      <xdr:rowOff>12700</xdr:rowOff>
    </xdr:from>
    <xdr:to>
      <xdr:col>7</xdr:col>
      <xdr:colOff>673100</xdr:colOff>
      <xdr:row>771</xdr:row>
      <xdr:rowOff>168275</xdr:rowOff>
    </xdr:to>
    <xdr:sp macro="[0]!SelectBarterOffer" textlink="">
      <xdr:nvSpPr>
        <xdr:cNvPr id="1658" name="BarterBtn_4_772_1" descr="8|772|1">
          <a:extLst>
            <a:ext uri="{FF2B5EF4-FFF2-40B4-BE49-F238E27FC236}">
              <a16:creationId xmlns:a16="http://schemas.microsoft.com/office/drawing/2014/main" id="{C03A4EDA-80DB-C444-147C-437E4D7B2386}"/>
            </a:ext>
          </a:extLst>
        </xdr:cNvPr>
        <xdr:cNvSpPr/>
      </xdr:nvSpPr>
      <xdr:spPr>
        <a:xfrm>
          <a:off x="5956300" y="3031648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778</xdr:row>
      <xdr:rowOff>12700</xdr:rowOff>
    </xdr:from>
    <xdr:to>
      <xdr:col>7</xdr:col>
      <xdr:colOff>673100</xdr:colOff>
      <xdr:row>778</xdr:row>
      <xdr:rowOff>168275</xdr:rowOff>
    </xdr:to>
    <xdr:sp macro="[0]!SelectBarterOffer" textlink="">
      <xdr:nvSpPr>
        <xdr:cNvPr id="1659" name="BarterBtn_4_779_1" descr="8|779|1">
          <a:extLst>
            <a:ext uri="{FF2B5EF4-FFF2-40B4-BE49-F238E27FC236}">
              <a16:creationId xmlns:a16="http://schemas.microsoft.com/office/drawing/2014/main" id="{C18CD9ED-D869-6C8F-F320-893524382169}"/>
            </a:ext>
          </a:extLst>
        </xdr:cNvPr>
        <xdr:cNvSpPr/>
      </xdr:nvSpPr>
      <xdr:spPr>
        <a:xfrm>
          <a:off x="5956300" y="3059176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785</xdr:row>
      <xdr:rowOff>12700</xdr:rowOff>
    </xdr:from>
    <xdr:to>
      <xdr:col>7</xdr:col>
      <xdr:colOff>673100</xdr:colOff>
      <xdr:row>785</xdr:row>
      <xdr:rowOff>168275</xdr:rowOff>
    </xdr:to>
    <xdr:sp macro="[0]!SelectBarterOffer" textlink="">
      <xdr:nvSpPr>
        <xdr:cNvPr id="1660" name="BarterBtn_4_786_1" descr="8|786|1">
          <a:extLst>
            <a:ext uri="{FF2B5EF4-FFF2-40B4-BE49-F238E27FC236}">
              <a16:creationId xmlns:a16="http://schemas.microsoft.com/office/drawing/2014/main" id="{84923F4B-1D6F-E251-38C4-4F820DAFD6F7}"/>
            </a:ext>
          </a:extLst>
        </xdr:cNvPr>
        <xdr:cNvSpPr/>
      </xdr:nvSpPr>
      <xdr:spPr>
        <a:xfrm>
          <a:off x="5956300" y="3086703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792</xdr:row>
      <xdr:rowOff>12700</xdr:rowOff>
    </xdr:from>
    <xdr:to>
      <xdr:col>7</xdr:col>
      <xdr:colOff>673100</xdr:colOff>
      <xdr:row>792</xdr:row>
      <xdr:rowOff>168275</xdr:rowOff>
    </xdr:to>
    <xdr:sp macro="[0]!SelectBarterOffer" textlink="">
      <xdr:nvSpPr>
        <xdr:cNvPr id="1661" name="BarterBtn_4_793_1" descr="8|793|1">
          <a:extLst>
            <a:ext uri="{FF2B5EF4-FFF2-40B4-BE49-F238E27FC236}">
              <a16:creationId xmlns:a16="http://schemas.microsoft.com/office/drawing/2014/main" id="{50D201B6-DE24-132C-E0FB-5DC4FC8BF086}"/>
            </a:ext>
          </a:extLst>
        </xdr:cNvPr>
        <xdr:cNvSpPr/>
      </xdr:nvSpPr>
      <xdr:spPr>
        <a:xfrm>
          <a:off x="5956300" y="3114230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799</xdr:row>
      <xdr:rowOff>12700</xdr:rowOff>
    </xdr:from>
    <xdr:to>
      <xdr:col>7</xdr:col>
      <xdr:colOff>673100</xdr:colOff>
      <xdr:row>799</xdr:row>
      <xdr:rowOff>168275</xdr:rowOff>
    </xdr:to>
    <xdr:sp macro="[0]!SelectBarterOffer" textlink="">
      <xdr:nvSpPr>
        <xdr:cNvPr id="1662" name="BarterBtn_4_800_1" descr="8|800|1">
          <a:extLst>
            <a:ext uri="{FF2B5EF4-FFF2-40B4-BE49-F238E27FC236}">
              <a16:creationId xmlns:a16="http://schemas.microsoft.com/office/drawing/2014/main" id="{27D80E0B-D629-E562-459A-D5D4E255A2C1}"/>
            </a:ext>
          </a:extLst>
        </xdr:cNvPr>
        <xdr:cNvSpPr/>
      </xdr:nvSpPr>
      <xdr:spPr>
        <a:xfrm>
          <a:off x="5956300" y="3141757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806</xdr:row>
      <xdr:rowOff>12700</xdr:rowOff>
    </xdr:from>
    <xdr:to>
      <xdr:col>7</xdr:col>
      <xdr:colOff>673100</xdr:colOff>
      <xdr:row>806</xdr:row>
      <xdr:rowOff>168275</xdr:rowOff>
    </xdr:to>
    <xdr:sp macro="[0]!SelectBarterOffer" textlink="">
      <xdr:nvSpPr>
        <xdr:cNvPr id="1663" name="BarterBtn_4_807_1" descr="8|807|1">
          <a:extLst>
            <a:ext uri="{FF2B5EF4-FFF2-40B4-BE49-F238E27FC236}">
              <a16:creationId xmlns:a16="http://schemas.microsoft.com/office/drawing/2014/main" id="{5D7E8E46-4804-19F2-8BAD-26828C927161}"/>
            </a:ext>
          </a:extLst>
        </xdr:cNvPr>
        <xdr:cNvSpPr/>
      </xdr:nvSpPr>
      <xdr:spPr>
        <a:xfrm>
          <a:off x="5956300" y="3169285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813</xdr:row>
      <xdr:rowOff>12700</xdr:rowOff>
    </xdr:from>
    <xdr:to>
      <xdr:col>7</xdr:col>
      <xdr:colOff>673100</xdr:colOff>
      <xdr:row>813</xdr:row>
      <xdr:rowOff>168275</xdr:rowOff>
    </xdr:to>
    <xdr:sp macro="[0]!SelectBarterOffer" textlink="">
      <xdr:nvSpPr>
        <xdr:cNvPr id="1664" name="BarterBtn_4_814_1" descr="8|814|1">
          <a:extLst>
            <a:ext uri="{FF2B5EF4-FFF2-40B4-BE49-F238E27FC236}">
              <a16:creationId xmlns:a16="http://schemas.microsoft.com/office/drawing/2014/main" id="{237C8C88-4712-913F-D196-37C17D638BBC}"/>
            </a:ext>
          </a:extLst>
        </xdr:cNvPr>
        <xdr:cNvSpPr/>
      </xdr:nvSpPr>
      <xdr:spPr>
        <a:xfrm>
          <a:off x="5956300" y="3196812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820</xdr:row>
      <xdr:rowOff>12700</xdr:rowOff>
    </xdr:from>
    <xdr:to>
      <xdr:col>7</xdr:col>
      <xdr:colOff>673100</xdr:colOff>
      <xdr:row>820</xdr:row>
      <xdr:rowOff>168275</xdr:rowOff>
    </xdr:to>
    <xdr:sp macro="[0]!SelectBarterOffer" textlink="">
      <xdr:nvSpPr>
        <xdr:cNvPr id="1665" name="BarterBtn_4_821_1" descr="8|821|1">
          <a:extLst>
            <a:ext uri="{FF2B5EF4-FFF2-40B4-BE49-F238E27FC236}">
              <a16:creationId xmlns:a16="http://schemas.microsoft.com/office/drawing/2014/main" id="{C0B2C33B-B5BD-AC64-40F9-E87B2B6D82CE}"/>
            </a:ext>
          </a:extLst>
        </xdr:cNvPr>
        <xdr:cNvSpPr/>
      </xdr:nvSpPr>
      <xdr:spPr>
        <a:xfrm>
          <a:off x="5956300" y="3224339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827</xdr:row>
      <xdr:rowOff>12700</xdr:rowOff>
    </xdr:from>
    <xdr:to>
      <xdr:col>7</xdr:col>
      <xdr:colOff>673100</xdr:colOff>
      <xdr:row>827</xdr:row>
      <xdr:rowOff>168275</xdr:rowOff>
    </xdr:to>
    <xdr:sp macro="[0]!SelectBarterOffer" textlink="">
      <xdr:nvSpPr>
        <xdr:cNvPr id="1666" name="BarterBtn_4_828_1" descr="8|828|1">
          <a:extLst>
            <a:ext uri="{FF2B5EF4-FFF2-40B4-BE49-F238E27FC236}">
              <a16:creationId xmlns:a16="http://schemas.microsoft.com/office/drawing/2014/main" id="{E333536C-138A-2788-E425-5D0CED757DD7}"/>
            </a:ext>
          </a:extLst>
        </xdr:cNvPr>
        <xdr:cNvSpPr/>
      </xdr:nvSpPr>
      <xdr:spPr>
        <a:xfrm>
          <a:off x="5956300" y="3251866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834</xdr:row>
      <xdr:rowOff>12700</xdr:rowOff>
    </xdr:from>
    <xdr:to>
      <xdr:col>7</xdr:col>
      <xdr:colOff>673100</xdr:colOff>
      <xdr:row>834</xdr:row>
      <xdr:rowOff>168275</xdr:rowOff>
    </xdr:to>
    <xdr:sp macro="[0]!SelectBarterOffer" textlink="">
      <xdr:nvSpPr>
        <xdr:cNvPr id="1667" name="BarterBtn_4_835_1" descr="8|835|1">
          <a:extLst>
            <a:ext uri="{FF2B5EF4-FFF2-40B4-BE49-F238E27FC236}">
              <a16:creationId xmlns:a16="http://schemas.microsoft.com/office/drawing/2014/main" id="{7D41023E-2127-0879-F206-63ED816A6188}"/>
            </a:ext>
          </a:extLst>
        </xdr:cNvPr>
        <xdr:cNvSpPr/>
      </xdr:nvSpPr>
      <xdr:spPr>
        <a:xfrm>
          <a:off x="5956300" y="3279394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841</xdr:row>
      <xdr:rowOff>12700</xdr:rowOff>
    </xdr:from>
    <xdr:to>
      <xdr:col>7</xdr:col>
      <xdr:colOff>673100</xdr:colOff>
      <xdr:row>841</xdr:row>
      <xdr:rowOff>168275</xdr:rowOff>
    </xdr:to>
    <xdr:sp macro="[0]!SelectBarterOffer" textlink="">
      <xdr:nvSpPr>
        <xdr:cNvPr id="1668" name="BarterBtn_4_842_1" descr="8|842|1">
          <a:extLst>
            <a:ext uri="{FF2B5EF4-FFF2-40B4-BE49-F238E27FC236}">
              <a16:creationId xmlns:a16="http://schemas.microsoft.com/office/drawing/2014/main" id="{12C1B0A2-68B8-2FA2-F931-E09FB3BF49A3}"/>
            </a:ext>
          </a:extLst>
        </xdr:cNvPr>
        <xdr:cNvSpPr/>
      </xdr:nvSpPr>
      <xdr:spPr>
        <a:xfrm>
          <a:off x="5956300" y="3306921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848</xdr:row>
      <xdr:rowOff>12700</xdr:rowOff>
    </xdr:from>
    <xdr:to>
      <xdr:col>7</xdr:col>
      <xdr:colOff>673100</xdr:colOff>
      <xdr:row>848</xdr:row>
      <xdr:rowOff>168275</xdr:rowOff>
    </xdr:to>
    <xdr:sp macro="[0]!SelectBarterOffer" textlink="">
      <xdr:nvSpPr>
        <xdr:cNvPr id="1669" name="BarterBtn_4_849_1" descr="8|849|1">
          <a:extLst>
            <a:ext uri="{FF2B5EF4-FFF2-40B4-BE49-F238E27FC236}">
              <a16:creationId xmlns:a16="http://schemas.microsoft.com/office/drawing/2014/main" id="{C9BAD3D0-C0C8-BF72-CAF8-64FE33A33B67}"/>
            </a:ext>
          </a:extLst>
        </xdr:cNvPr>
        <xdr:cNvSpPr/>
      </xdr:nvSpPr>
      <xdr:spPr>
        <a:xfrm>
          <a:off x="5956300" y="3334448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855</xdr:row>
      <xdr:rowOff>12700</xdr:rowOff>
    </xdr:from>
    <xdr:to>
      <xdr:col>7</xdr:col>
      <xdr:colOff>673100</xdr:colOff>
      <xdr:row>855</xdr:row>
      <xdr:rowOff>168275</xdr:rowOff>
    </xdr:to>
    <xdr:sp macro="[0]!SelectBarterOffer" textlink="">
      <xdr:nvSpPr>
        <xdr:cNvPr id="1670" name="BarterBtn_4_856_1" descr="8|856|1">
          <a:extLst>
            <a:ext uri="{FF2B5EF4-FFF2-40B4-BE49-F238E27FC236}">
              <a16:creationId xmlns:a16="http://schemas.microsoft.com/office/drawing/2014/main" id="{8392FE24-8B59-21E2-6300-28AC0E6A0492}"/>
            </a:ext>
          </a:extLst>
        </xdr:cNvPr>
        <xdr:cNvSpPr/>
      </xdr:nvSpPr>
      <xdr:spPr>
        <a:xfrm>
          <a:off x="5956300" y="3361975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862</xdr:row>
      <xdr:rowOff>12700</xdr:rowOff>
    </xdr:from>
    <xdr:to>
      <xdr:col>7</xdr:col>
      <xdr:colOff>673100</xdr:colOff>
      <xdr:row>862</xdr:row>
      <xdr:rowOff>168275</xdr:rowOff>
    </xdr:to>
    <xdr:sp macro="[0]!SelectBarterOffer" textlink="">
      <xdr:nvSpPr>
        <xdr:cNvPr id="1671" name="BarterBtn_4_863_1" descr="8|863|1">
          <a:extLst>
            <a:ext uri="{FF2B5EF4-FFF2-40B4-BE49-F238E27FC236}">
              <a16:creationId xmlns:a16="http://schemas.microsoft.com/office/drawing/2014/main" id="{F4338EE6-D2FA-3BE4-5971-063A29F4AC0C}"/>
            </a:ext>
          </a:extLst>
        </xdr:cNvPr>
        <xdr:cNvSpPr/>
      </xdr:nvSpPr>
      <xdr:spPr>
        <a:xfrm>
          <a:off x="5956300" y="3389503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869</xdr:row>
      <xdr:rowOff>12700</xdr:rowOff>
    </xdr:from>
    <xdr:to>
      <xdr:col>7</xdr:col>
      <xdr:colOff>673100</xdr:colOff>
      <xdr:row>869</xdr:row>
      <xdr:rowOff>168275</xdr:rowOff>
    </xdr:to>
    <xdr:sp macro="[0]!SelectBarterOffer" textlink="">
      <xdr:nvSpPr>
        <xdr:cNvPr id="1672" name="BarterBtn_4_870_1" descr="8|870|1">
          <a:extLst>
            <a:ext uri="{FF2B5EF4-FFF2-40B4-BE49-F238E27FC236}">
              <a16:creationId xmlns:a16="http://schemas.microsoft.com/office/drawing/2014/main" id="{16324970-0E7B-B19E-16E7-DF10038E0BB7}"/>
            </a:ext>
          </a:extLst>
        </xdr:cNvPr>
        <xdr:cNvSpPr/>
      </xdr:nvSpPr>
      <xdr:spPr>
        <a:xfrm>
          <a:off x="5956300" y="3417030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876</xdr:row>
      <xdr:rowOff>12700</xdr:rowOff>
    </xdr:from>
    <xdr:to>
      <xdr:col>7</xdr:col>
      <xdr:colOff>673100</xdr:colOff>
      <xdr:row>876</xdr:row>
      <xdr:rowOff>168275</xdr:rowOff>
    </xdr:to>
    <xdr:sp macro="[0]!SelectBarterOffer" textlink="">
      <xdr:nvSpPr>
        <xdr:cNvPr id="1673" name="BarterBtn_4_877_1" descr="8|877|1">
          <a:extLst>
            <a:ext uri="{FF2B5EF4-FFF2-40B4-BE49-F238E27FC236}">
              <a16:creationId xmlns:a16="http://schemas.microsoft.com/office/drawing/2014/main" id="{0E5C87F9-4054-D79A-E298-609E7087069F}"/>
            </a:ext>
          </a:extLst>
        </xdr:cNvPr>
        <xdr:cNvSpPr/>
      </xdr:nvSpPr>
      <xdr:spPr>
        <a:xfrm>
          <a:off x="5956300" y="3444557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883</xdr:row>
      <xdr:rowOff>12700</xdr:rowOff>
    </xdr:from>
    <xdr:to>
      <xdr:col>7</xdr:col>
      <xdr:colOff>673100</xdr:colOff>
      <xdr:row>883</xdr:row>
      <xdr:rowOff>168275</xdr:rowOff>
    </xdr:to>
    <xdr:sp macro="[0]!SelectBarterOffer" textlink="">
      <xdr:nvSpPr>
        <xdr:cNvPr id="1674" name="BarterBtn_4_884_1" descr="8|884|1">
          <a:extLst>
            <a:ext uri="{FF2B5EF4-FFF2-40B4-BE49-F238E27FC236}">
              <a16:creationId xmlns:a16="http://schemas.microsoft.com/office/drawing/2014/main" id="{0443EEFC-1A96-DD8B-EC05-FB6D7EAFA484}"/>
            </a:ext>
          </a:extLst>
        </xdr:cNvPr>
        <xdr:cNvSpPr/>
      </xdr:nvSpPr>
      <xdr:spPr>
        <a:xfrm>
          <a:off x="5956300" y="3472084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890</xdr:row>
      <xdr:rowOff>12700</xdr:rowOff>
    </xdr:from>
    <xdr:to>
      <xdr:col>7</xdr:col>
      <xdr:colOff>673100</xdr:colOff>
      <xdr:row>890</xdr:row>
      <xdr:rowOff>168275</xdr:rowOff>
    </xdr:to>
    <xdr:sp macro="[0]!SelectBarterOffer" textlink="">
      <xdr:nvSpPr>
        <xdr:cNvPr id="1675" name="BarterBtn_4_891_1" descr="8|891|1">
          <a:extLst>
            <a:ext uri="{FF2B5EF4-FFF2-40B4-BE49-F238E27FC236}">
              <a16:creationId xmlns:a16="http://schemas.microsoft.com/office/drawing/2014/main" id="{2A68292A-EC2E-8E00-C0BE-591C156385C2}"/>
            </a:ext>
          </a:extLst>
        </xdr:cNvPr>
        <xdr:cNvSpPr/>
      </xdr:nvSpPr>
      <xdr:spPr>
        <a:xfrm>
          <a:off x="5956300" y="3499612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897</xdr:row>
      <xdr:rowOff>12700</xdr:rowOff>
    </xdr:from>
    <xdr:to>
      <xdr:col>7</xdr:col>
      <xdr:colOff>673100</xdr:colOff>
      <xdr:row>897</xdr:row>
      <xdr:rowOff>168275</xdr:rowOff>
    </xdr:to>
    <xdr:sp macro="[0]!SelectBarterOffer" textlink="">
      <xdr:nvSpPr>
        <xdr:cNvPr id="1676" name="BarterBtn_4_898_1" descr="8|898|1">
          <a:extLst>
            <a:ext uri="{FF2B5EF4-FFF2-40B4-BE49-F238E27FC236}">
              <a16:creationId xmlns:a16="http://schemas.microsoft.com/office/drawing/2014/main" id="{9A8B74D3-2A5D-B4A6-0304-3A07C14AFE7D}"/>
            </a:ext>
          </a:extLst>
        </xdr:cNvPr>
        <xdr:cNvSpPr/>
      </xdr:nvSpPr>
      <xdr:spPr>
        <a:xfrm>
          <a:off x="5956300" y="352713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8</xdr:col>
      <xdr:colOff>12700</xdr:colOff>
      <xdr:row>897</xdr:row>
      <xdr:rowOff>12700</xdr:rowOff>
    </xdr:from>
    <xdr:to>
      <xdr:col>10</xdr:col>
      <xdr:colOff>673100</xdr:colOff>
      <xdr:row>897</xdr:row>
      <xdr:rowOff>168275</xdr:rowOff>
    </xdr:to>
    <xdr:sp macro="[0]!SelectBarterOffer" textlink="">
      <xdr:nvSpPr>
        <xdr:cNvPr id="1677" name="BarterBtn_4_898_2" descr="8|898|2">
          <a:extLst>
            <a:ext uri="{FF2B5EF4-FFF2-40B4-BE49-F238E27FC236}">
              <a16:creationId xmlns:a16="http://schemas.microsoft.com/office/drawing/2014/main" id="{87E23F25-E570-751C-9EB1-52B1339C492B}"/>
            </a:ext>
          </a:extLst>
        </xdr:cNvPr>
        <xdr:cNvSpPr/>
      </xdr:nvSpPr>
      <xdr:spPr>
        <a:xfrm>
          <a:off x="8013700" y="3527139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№2</a:t>
          </a:r>
        </a:p>
      </xdr:txBody>
    </xdr:sp>
    <xdr:clientData/>
  </xdr:twoCellAnchor>
  <xdr:twoCellAnchor>
    <xdr:from>
      <xdr:col>5</xdr:col>
      <xdr:colOff>12700</xdr:colOff>
      <xdr:row>904</xdr:row>
      <xdr:rowOff>12700</xdr:rowOff>
    </xdr:from>
    <xdr:to>
      <xdr:col>7</xdr:col>
      <xdr:colOff>673100</xdr:colOff>
      <xdr:row>904</xdr:row>
      <xdr:rowOff>168275</xdr:rowOff>
    </xdr:to>
    <xdr:sp macro="[0]!SelectBarterOffer" textlink="">
      <xdr:nvSpPr>
        <xdr:cNvPr id="1678" name="BarterBtn_4_905_1" descr="8|905|1">
          <a:extLst>
            <a:ext uri="{FF2B5EF4-FFF2-40B4-BE49-F238E27FC236}">
              <a16:creationId xmlns:a16="http://schemas.microsoft.com/office/drawing/2014/main" id="{3DDCF490-668D-B994-4E87-C1E62DE6F8BD}"/>
            </a:ext>
          </a:extLst>
        </xdr:cNvPr>
        <xdr:cNvSpPr/>
      </xdr:nvSpPr>
      <xdr:spPr>
        <a:xfrm>
          <a:off x="5956300" y="3554666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911</xdr:row>
      <xdr:rowOff>12700</xdr:rowOff>
    </xdr:from>
    <xdr:to>
      <xdr:col>7</xdr:col>
      <xdr:colOff>673100</xdr:colOff>
      <xdr:row>911</xdr:row>
      <xdr:rowOff>168275</xdr:rowOff>
    </xdr:to>
    <xdr:sp macro="[0]!SelectBarterOffer" textlink="">
      <xdr:nvSpPr>
        <xdr:cNvPr id="1679" name="BarterBtn_4_912_1" descr="8|912|1">
          <a:extLst>
            <a:ext uri="{FF2B5EF4-FFF2-40B4-BE49-F238E27FC236}">
              <a16:creationId xmlns:a16="http://schemas.microsoft.com/office/drawing/2014/main" id="{1D1A7EF0-CCC7-129A-10BD-82F145E09243}"/>
            </a:ext>
          </a:extLst>
        </xdr:cNvPr>
        <xdr:cNvSpPr/>
      </xdr:nvSpPr>
      <xdr:spPr>
        <a:xfrm>
          <a:off x="5956300" y="3582193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918</xdr:row>
      <xdr:rowOff>12700</xdr:rowOff>
    </xdr:from>
    <xdr:to>
      <xdr:col>7</xdr:col>
      <xdr:colOff>673100</xdr:colOff>
      <xdr:row>918</xdr:row>
      <xdr:rowOff>168275</xdr:rowOff>
    </xdr:to>
    <xdr:sp macro="[0]!SelectBarterOffer" textlink="">
      <xdr:nvSpPr>
        <xdr:cNvPr id="1680" name="BarterBtn_4_919_1" descr="8|919|1">
          <a:extLst>
            <a:ext uri="{FF2B5EF4-FFF2-40B4-BE49-F238E27FC236}">
              <a16:creationId xmlns:a16="http://schemas.microsoft.com/office/drawing/2014/main" id="{5EAF67E8-B1FF-1F63-CA8F-CDBAFE6BC656}"/>
            </a:ext>
          </a:extLst>
        </xdr:cNvPr>
        <xdr:cNvSpPr/>
      </xdr:nvSpPr>
      <xdr:spPr>
        <a:xfrm>
          <a:off x="5956300" y="3609721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925</xdr:row>
      <xdr:rowOff>12700</xdr:rowOff>
    </xdr:from>
    <xdr:to>
      <xdr:col>7</xdr:col>
      <xdr:colOff>673100</xdr:colOff>
      <xdr:row>925</xdr:row>
      <xdr:rowOff>168275</xdr:rowOff>
    </xdr:to>
    <xdr:sp macro="[0]!SelectBarterOffer" textlink="">
      <xdr:nvSpPr>
        <xdr:cNvPr id="1681" name="BarterBtn_4_926_1" descr="8|926|1">
          <a:extLst>
            <a:ext uri="{FF2B5EF4-FFF2-40B4-BE49-F238E27FC236}">
              <a16:creationId xmlns:a16="http://schemas.microsoft.com/office/drawing/2014/main" id="{6DDBBEEA-F598-FC8C-E68F-740BC3FF1BFC}"/>
            </a:ext>
          </a:extLst>
        </xdr:cNvPr>
        <xdr:cNvSpPr/>
      </xdr:nvSpPr>
      <xdr:spPr>
        <a:xfrm>
          <a:off x="5956300" y="3637248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932</xdr:row>
      <xdr:rowOff>12700</xdr:rowOff>
    </xdr:from>
    <xdr:to>
      <xdr:col>7</xdr:col>
      <xdr:colOff>673100</xdr:colOff>
      <xdr:row>932</xdr:row>
      <xdr:rowOff>168275</xdr:rowOff>
    </xdr:to>
    <xdr:sp macro="[0]!SelectBarterOffer" textlink="">
      <xdr:nvSpPr>
        <xdr:cNvPr id="1682" name="BarterBtn_4_933_1" descr="8|933|1">
          <a:extLst>
            <a:ext uri="{FF2B5EF4-FFF2-40B4-BE49-F238E27FC236}">
              <a16:creationId xmlns:a16="http://schemas.microsoft.com/office/drawing/2014/main" id="{76BCDF1C-4574-3B21-C616-902EB7AF0C05}"/>
            </a:ext>
          </a:extLst>
        </xdr:cNvPr>
        <xdr:cNvSpPr/>
      </xdr:nvSpPr>
      <xdr:spPr>
        <a:xfrm>
          <a:off x="5956300" y="36647755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939</xdr:row>
      <xdr:rowOff>12700</xdr:rowOff>
    </xdr:from>
    <xdr:to>
      <xdr:col>7</xdr:col>
      <xdr:colOff>673100</xdr:colOff>
      <xdr:row>939</xdr:row>
      <xdr:rowOff>168275</xdr:rowOff>
    </xdr:to>
    <xdr:sp macro="[0]!SelectBarterOffer" textlink="">
      <xdr:nvSpPr>
        <xdr:cNvPr id="1683" name="BarterBtn_4_940_1" descr="8|940|1">
          <a:extLst>
            <a:ext uri="{FF2B5EF4-FFF2-40B4-BE49-F238E27FC236}">
              <a16:creationId xmlns:a16="http://schemas.microsoft.com/office/drawing/2014/main" id="{BD39BEBB-591F-8921-5F15-4B860DFE378B}"/>
            </a:ext>
          </a:extLst>
        </xdr:cNvPr>
        <xdr:cNvSpPr/>
      </xdr:nvSpPr>
      <xdr:spPr>
        <a:xfrm>
          <a:off x="5956300" y="36923027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946</xdr:row>
      <xdr:rowOff>12700</xdr:rowOff>
    </xdr:from>
    <xdr:to>
      <xdr:col>7</xdr:col>
      <xdr:colOff>673100</xdr:colOff>
      <xdr:row>946</xdr:row>
      <xdr:rowOff>168275</xdr:rowOff>
    </xdr:to>
    <xdr:sp macro="[0]!SelectBarterOffer" textlink="">
      <xdr:nvSpPr>
        <xdr:cNvPr id="1684" name="BarterBtn_4_947_1" descr="8|947|1">
          <a:extLst>
            <a:ext uri="{FF2B5EF4-FFF2-40B4-BE49-F238E27FC236}">
              <a16:creationId xmlns:a16="http://schemas.microsoft.com/office/drawing/2014/main" id="{352FFFFC-4CD5-CB66-D3F9-AA2DED19914C}"/>
            </a:ext>
          </a:extLst>
        </xdr:cNvPr>
        <xdr:cNvSpPr/>
      </xdr:nvSpPr>
      <xdr:spPr>
        <a:xfrm>
          <a:off x="5956300" y="371983000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5</xdr:col>
      <xdr:colOff>12700</xdr:colOff>
      <xdr:row>953</xdr:row>
      <xdr:rowOff>12700</xdr:rowOff>
    </xdr:from>
    <xdr:to>
      <xdr:col>7</xdr:col>
      <xdr:colOff>673100</xdr:colOff>
      <xdr:row>953</xdr:row>
      <xdr:rowOff>168275</xdr:rowOff>
    </xdr:to>
    <xdr:sp macro="[0]!SelectBarterOffer" textlink="">
      <xdr:nvSpPr>
        <xdr:cNvPr id="1685" name="BarterBtn_4_954_1" descr="8|954|1">
          <a:extLst>
            <a:ext uri="{FF2B5EF4-FFF2-40B4-BE49-F238E27FC236}">
              <a16:creationId xmlns:a16="http://schemas.microsoft.com/office/drawing/2014/main" id="{ADDC59F0-C6DF-1174-E9E1-86D83A03EBC7}"/>
            </a:ext>
          </a:extLst>
        </xdr:cNvPr>
        <xdr:cNvSpPr/>
      </xdr:nvSpPr>
      <xdr:spPr>
        <a:xfrm>
          <a:off x="5956300" y="374735725"/>
          <a:ext cx="2032000" cy="155575"/>
        </a:xfrm>
        <a:prstGeom prst="roundRect">
          <a:avLst/>
        </a:prstGeom>
        <a:solidFill>
          <a:srgbClr val="5B9BD5"/>
        </a:solidFill>
        <a:ln>
          <a:solidFill>
            <a:srgbClr val="37609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/>
            <a:t>Предложение №1</a:t>
          </a:r>
        </a:p>
      </xdr:txBody>
    </xdr:sp>
    <xdr:clientData/>
  </xdr:twoCellAnchor>
  <xdr:twoCellAnchor>
    <xdr:from>
      <xdr:col>0</xdr:col>
      <xdr:colOff>50800</xdr:colOff>
      <xdr:row>961</xdr:row>
      <xdr:rowOff>25400</xdr:rowOff>
    </xdr:from>
    <xdr:to>
      <xdr:col>16</xdr:col>
      <xdr:colOff>635000</xdr:colOff>
      <xdr:row>961</xdr:row>
      <xdr:rowOff>558800</xdr:rowOff>
    </xdr:to>
    <xdr:sp macro="" textlink="">
      <xdr:nvSpPr>
        <xdr:cNvPr id="1504" name="HofrinWatermark_4" descr="Made by Hofrin">
          <a:extLst>
            <a:ext uri="{FF2B5EF4-FFF2-40B4-BE49-F238E27FC236}">
              <a16:creationId xmlns:a16="http://schemas.microsoft.com/office/drawing/2014/main" id="{F8A5DB41-79D0-8264-7E10-E37AAE8D7B6A}"/>
            </a:ext>
          </a:extLst>
        </xdr:cNvPr>
        <xdr:cNvSpPr txBox="1"/>
      </xdr:nvSpPr>
      <xdr:spPr>
        <a:xfrm>
          <a:off x="50800" y="377682125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50800</xdr:colOff>
      <xdr:row>961</xdr:row>
      <xdr:rowOff>25400</xdr:rowOff>
    </xdr:from>
    <xdr:to>
      <xdr:col>16</xdr:col>
      <xdr:colOff>635000</xdr:colOff>
      <xdr:row>961</xdr:row>
      <xdr:rowOff>558800</xdr:rowOff>
    </xdr:to>
    <xdr:sp macro="" textlink="">
      <xdr:nvSpPr>
        <xdr:cNvPr id="1505" name="HofrinWatermark_8" descr="Made by Hofrin">
          <a:extLst>
            <a:ext uri="{FF2B5EF4-FFF2-40B4-BE49-F238E27FC236}">
              <a16:creationId xmlns:a16="http://schemas.microsoft.com/office/drawing/2014/main" id="{D338E252-F928-5F90-5607-D8D32E2350A6}"/>
            </a:ext>
          </a:extLst>
        </xdr:cNvPr>
        <xdr:cNvSpPr txBox="1"/>
      </xdr:nvSpPr>
      <xdr:spPr>
        <a:xfrm>
          <a:off x="50800" y="377682125"/>
          <a:ext cx="140716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25400" tIns="0" rIns="25400" bIns="0" rtlCol="0" anchor="ctr"/>
        <a:lstStyle/>
        <a:p>
          <a:pPr algn="ctr"/>
          <a:r>
            <a:rPr lang="en-US" sz="2600" b="1">
              <a:solidFill>
                <a:srgbClr val="CDD7E1">
                  <a:alpha val="55000"/>
                </a:srgbClr>
              </a:solidFill>
              <a:latin typeface="Calibri" panose="020F0502020204030204" pitchFamily="34" charset="0"/>
            </a:rPr>
            <a:t>Made by Hofrin</a:t>
          </a:r>
          <a:endParaRPr lang="ru-RU" sz="2600" b="1">
            <a:solidFill>
              <a:srgbClr val="CDD7E1">
                <a:alpha val="5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3482-29ED-4BE3-B453-AEB1967B438D}">
  <sheetPr codeName="Лист7"/>
  <dimension ref="A1:C26"/>
  <sheetViews>
    <sheetView tabSelected="1" workbookViewId="0">
      <selection sqref="A1:C1"/>
    </sheetView>
  </sheetViews>
  <sheetFormatPr defaultRowHeight="14.25"/>
  <cols>
    <col min="1" max="1" width="11.625" style="11" customWidth="1"/>
    <col min="2" max="2" width="24.625" style="11" customWidth="1"/>
    <col min="3" max="3" width="56.25" style="11" customWidth="1"/>
    <col min="4" max="16384" width="9" style="11"/>
  </cols>
  <sheetData>
    <row r="1" spans="1:3" ht="32.1" customHeight="1">
      <c r="A1" s="10" t="s">
        <v>884</v>
      </c>
      <c r="B1" s="10"/>
      <c r="C1" s="10"/>
    </row>
    <row r="2" spans="1:3" ht="35.25" customHeight="1">
      <c r="A2" s="12" t="s">
        <v>885</v>
      </c>
      <c r="B2" s="12"/>
      <c r="C2" s="12"/>
    </row>
    <row r="3" spans="1:3" ht="15">
      <c r="A3" s="13" t="s">
        <v>872</v>
      </c>
      <c r="B3" s="13"/>
      <c r="C3" s="13"/>
    </row>
    <row r="4" spans="1:3" ht="42.75">
      <c r="A4" s="14">
        <v>1</v>
      </c>
      <c r="B4" s="15" t="s">
        <v>840</v>
      </c>
      <c r="C4" s="16" t="s">
        <v>841</v>
      </c>
    </row>
    <row r="5" spans="1:3" ht="28.5">
      <c r="A5" s="14">
        <v>2</v>
      </c>
      <c r="B5" s="15" t="s">
        <v>842</v>
      </c>
      <c r="C5" s="16" t="s">
        <v>843</v>
      </c>
    </row>
    <row r="6" spans="1:3" ht="42.75">
      <c r="A6" s="14">
        <v>3</v>
      </c>
      <c r="B6" s="15" t="s">
        <v>844</v>
      </c>
      <c r="C6" s="16" t="s">
        <v>845</v>
      </c>
    </row>
    <row r="7" spans="1:3" ht="28.5">
      <c r="A7" s="14">
        <v>4</v>
      </c>
      <c r="B7" s="15" t="s">
        <v>846</v>
      </c>
      <c r="C7" s="16" t="s">
        <v>847</v>
      </c>
    </row>
    <row r="8" spans="1:3" ht="42.75">
      <c r="A8" s="14">
        <v>5</v>
      </c>
      <c r="B8" s="15" t="s">
        <v>848</v>
      </c>
      <c r="C8" s="16" t="s">
        <v>849</v>
      </c>
    </row>
    <row r="9" spans="1:3" ht="71.25">
      <c r="A9" s="14">
        <v>6</v>
      </c>
      <c r="B9" s="15" t="s">
        <v>850</v>
      </c>
      <c r="C9" s="16" t="s">
        <v>870</v>
      </c>
    </row>
    <row r="10" spans="1:3" ht="15" customHeight="1">
      <c r="A10" s="13" t="s">
        <v>871</v>
      </c>
      <c r="B10" s="13"/>
      <c r="C10" s="13"/>
    </row>
    <row r="11" spans="1:3" ht="28.5">
      <c r="A11" s="14">
        <v>1</v>
      </c>
      <c r="B11" s="17" t="s">
        <v>851</v>
      </c>
      <c r="C11" s="16" t="s">
        <v>873</v>
      </c>
    </row>
    <row r="12" spans="1:3" ht="57">
      <c r="A12" s="14">
        <v>2</v>
      </c>
      <c r="B12" s="17" t="s">
        <v>852</v>
      </c>
      <c r="C12" s="16" t="s">
        <v>875</v>
      </c>
    </row>
    <row r="13" spans="1:3" ht="42.75">
      <c r="A13" s="14">
        <v>3</v>
      </c>
      <c r="B13" s="17" t="s">
        <v>853</v>
      </c>
      <c r="C13" s="16" t="s">
        <v>874</v>
      </c>
    </row>
    <row r="14" spans="1:3" ht="42.75">
      <c r="A14" s="14">
        <v>5</v>
      </c>
      <c r="B14" s="17" t="s">
        <v>854</v>
      </c>
      <c r="C14" s="16" t="s">
        <v>855</v>
      </c>
    </row>
    <row r="15" spans="1:3" ht="15">
      <c r="A15" s="13" t="s">
        <v>878</v>
      </c>
      <c r="B15" s="13"/>
      <c r="C15" s="13"/>
    </row>
    <row r="16" spans="1:3" ht="57.75" customHeight="1">
      <c r="A16" s="14">
        <v>1</v>
      </c>
      <c r="B16" s="14" t="s">
        <v>856</v>
      </c>
      <c r="C16" s="18" t="s">
        <v>876</v>
      </c>
    </row>
    <row r="17" spans="1:3" ht="28.5">
      <c r="A17" s="14">
        <v>2</v>
      </c>
      <c r="B17" s="14" t="s">
        <v>857</v>
      </c>
      <c r="C17" s="18" t="s">
        <v>877</v>
      </c>
    </row>
    <row r="18" spans="1:3" ht="28.5">
      <c r="A18" s="14">
        <v>4</v>
      </c>
      <c r="B18" s="14" t="s">
        <v>858</v>
      </c>
      <c r="C18" s="18" t="s">
        <v>879</v>
      </c>
    </row>
    <row r="19" spans="1:3" ht="42.75">
      <c r="A19" s="14">
        <v>5</v>
      </c>
      <c r="B19" s="14" t="s">
        <v>859</v>
      </c>
      <c r="C19" s="18" t="s">
        <v>880</v>
      </c>
    </row>
    <row r="20" spans="1:3" ht="71.25">
      <c r="A20" s="14">
        <v>6</v>
      </c>
      <c r="B20" s="14" t="s">
        <v>860</v>
      </c>
      <c r="C20" s="18" t="s">
        <v>881</v>
      </c>
    </row>
    <row r="21" spans="1:3" ht="42.75">
      <c r="A21" s="14">
        <v>7</v>
      </c>
      <c r="B21" s="14" t="s">
        <v>861</v>
      </c>
      <c r="C21" s="18" t="s">
        <v>882</v>
      </c>
    </row>
    <row r="22" spans="1:3" ht="15">
      <c r="A22" s="13" t="s">
        <v>883</v>
      </c>
      <c r="B22" s="13"/>
      <c r="C22" s="13"/>
    </row>
    <row r="23" spans="1:3" ht="42.75">
      <c r="A23" s="14">
        <v>1</v>
      </c>
      <c r="B23" s="14" t="s">
        <v>862</v>
      </c>
      <c r="C23" s="18" t="s">
        <v>863</v>
      </c>
    </row>
    <row r="24" spans="1:3" ht="42.75">
      <c r="A24" s="14">
        <v>2</v>
      </c>
      <c r="B24" s="14" t="s">
        <v>864</v>
      </c>
      <c r="C24" s="18" t="s">
        <v>865</v>
      </c>
    </row>
    <row r="25" spans="1:3" ht="42.75">
      <c r="A25" s="14">
        <v>3</v>
      </c>
      <c r="B25" s="14" t="s">
        <v>866</v>
      </c>
      <c r="C25" s="18" t="s">
        <v>867</v>
      </c>
    </row>
    <row r="26" spans="1:3" ht="42.75">
      <c r="A26" s="14">
        <v>4</v>
      </c>
      <c r="B26" s="14" t="s">
        <v>868</v>
      </c>
      <c r="C26" s="18" t="s">
        <v>869</v>
      </c>
    </row>
  </sheetData>
  <sheetProtection algorithmName="SHA-512" hashValue="LaKwGXi9ouquAgsAAhtQSLfKgxJcTV0X42SBzTi6oDCpq7SLwzgGXVddDq4DyrS8QVaHA/jjFD7teHVeo8O06w==" saltValue="4wyoXgCSXoNwi7yxpGLXJA==" spinCount="100000" sheet="1" objects="1" scenarios="1" autoFilter="0"/>
  <mergeCells count="6">
    <mergeCell ref="A1:C1"/>
    <mergeCell ref="A22:C22"/>
    <mergeCell ref="A2:C2"/>
    <mergeCell ref="A10:C10"/>
    <mergeCell ref="A3:C3"/>
    <mergeCell ref="A15:C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30"/>
  <sheetViews>
    <sheetView showGridLines="0" workbookViewId="0">
      <selection activeCell="F20" sqref="F20"/>
    </sheetView>
  </sheetViews>
  <sheetFormatPr defaultRowHeight="14.25"/>
  <cols>
    <col min="1" max="1" width="7" style="11" customWidth="1"/>
    <col min="2" max="2" width="10" style="11" customWidth="1"/>
    <col min="3" max="3" width="26" style="11" customWidth="1"/>
    <col min="4" max="4" width="47.25" style="11" customWidth="1"/>
    <col min="5" max="5" width="16" style="11" customWidth="1"/>
    <col min="6" max="16384" width="9" style="11"/>
  </cols>
  <sheetData>
    <row r="1" spans="1:5" ht="27.95" customHeight="1" thickBot="1">
      <c r="A1" s="19" t="s">
        <v>0</v>
      </c>
      <c r="B1" s="20"/>
      <c r="C1" s="20"/>
      <c r="D1" s="20"/>
      <c r="E1" s="21"/>
    </row>
    <row r="2" spans="1:5" ht="30" customHeight="1" thickBot="1">
      <c r="A2" s="22" t="s">
        <v>1</v>
      </c>
      <c r="B2" s="23" t="s">
        <v>2</v>
      </c>
      <c r="C2" s="23"/>
      <c r="D2" s="24" t="s">
        <v>3</v>
      </c>
      <c r="E2" s="25" t="s">
        <v>831</v>
      </c>
    </row>
    <row r="3" spans="1:5" ht="45" customHeight="1">
      <c r="A3" s="26">
        <v>1</v>
      </c>
      <c r="B3" s="27"/>
      <c r="C3" s="28" t="s">
        <v>4</v>
      </c>
      <c r="D3" s="29" t="s">
        <v>5</v>
      </c>
      <c r="E3" s="1"/>
    </row>
    <row r="4" spans="1:5" ht="45" customHeight="1" thickBot="1">
      <c r="A4" s="30">
        <v>2</v>
      </c>
      <c r="B4" s="31"/>
      <c r="C4" s="32" t="s">
        <v>6</v>
      </c>
      <c r="D4" s="33" t="s">
        <v>5</v>
      </c>
      <c r="E4" s="2"/>
    </row>
    <row r="5" spans="1:5" ht="45" customHeight="1">
      <c r="A5" s="26">
        <v>3</v>
      </c>
      <c r="B5" s="27"/>
      <c r="C5" s="28" t="s">
        <v>7</v>
      </c>
      <c r="D5" s="29" t="s">
        <v>8</v>
      </c>
      <c r="E5" s="1"/>
    </row>
    <row r="6" spans="1:5" ht="45" customHeight="1">
      <c r="A6" s="34">
        <v>4</v>
      </c>
      <c r="B6" s="35"/>
      <c r="C6" s="18" t="s">
        <v>9</v>
      </c>
      <c r="D6" s="36" t="s">
        <v>8</v>
      </c>
      <c r="E6" s="3"/>
    </row>
    <row r="7" spans="1:5" ht="45" customHeight="1" thickBot="1">
      <c r="A7" s="30">
        <v>5</v>
      </c>
      <c r="B7" s="31"/>
      <c r="C7" s="32" t="s">
        <v>10</v>
      </c>
      <c r="D7" s="33" t="s">
        <v>11</v>
      </c>
      <c r="E7" s="2"/>
    </row>
    <row r="8" spans="1:5" ht="45" customHeight="1">
      <c r="A8" s="26">
        <v>6</v>
      </c>
      <c r="B8" s="27"/>
      <c r="C8" s="28" t="s">
        <v>12</v>
      </c>
      <c r="D8" s="29" t="s">
        <v>13</v>
      </c>
      <c r="E8" s="1"/>
    </row>
    <row r="9" spans="1:5" ht="45" customHeight="1">
      <c r="A9" s="34">
        <v>7</v>
      </c>
      <c r="B9" s="35"/>
      <c r="C9" s="18" t="s">
        <v>14</v>
      </c>
      <c r="D9" s="36" t="s">
        <v>13</v>
      </c>
      <c r="E9" s="3"/>
    </row>
    <row r="10" spans="1:5" ht="45" customHeight="1">
      <c r="A10" s="34">
        <v>8</v>
      </c>
      <c r="B10" s="35"/>
      <c r="C10" s="18" t="s">
        <v>15</v>
      </c>
      <c r="D10" s="36" t="s">
        <v>13</v>
      </c>
      <c r="E10" s="3"/>
    </row>
    <row r="11" spans="1:5" ht="45" customHeight="1" thickBot="1">
      <c r="A11" s="30">
        <v>9</v>
      </c>
      <c r="B11" s="31"/>
      <c r="C11" s="32" t="s">
        <v>16</v>
      </c>
      <c r="D11" s="33" t="s">
        <v>13</v>
      </c>
      <c r="E11" s="2"/>
    </row>
    <row r="12" spans="1:5" ht="45" customHeight="1">
      <c r="A12" s="26">
        <v>10</v>
      </c>
      <c r="B12" s="27"/>
      <c r="C12" s="28" t="s">
        <v>17</v>
      </c>
      <c r="D12" s="29" t="s">
        <v>18</v>
      </c>
      <c r="E12" s="1"/>
    </row>
    <row r="13" spans="1:5" ht="45" customHeight="1">
      <c r="A13" s="34">
        <v>11</v>
      </c>
      <c r="B13" s="35"/>
      <c r="C13" s="18" t="s">
        <v>19</v>
      </c>
      <c r="D13" s="36" t="s">
        <v>18</v>
      </c>
      <c r="E13" s="3"/>
    </row>
    <row r="14" spans="1:5" ht="45" customHeight="1">
      <c r="A14" s="34">
        <v>12</v>
      </c>
      <c r="B14" s="35"/>
      <c r="C14" s="18" t="s">
        <v>20</v>
      </c>
      <c r="D14" s="36" t="s">
        <v>18</v>
      </c>
      <c r="E14" s="3"/>
    </row>
    <row r="15" spans="1:5" ht="45" customHeight="1" thickBot="1">
      <c r="A15" s="30">
        <v>13</v>
      </c>
      <c r="B15" s="31"/>
      <c r="C15" s="32" t="s">
        <v>21</v>
      </c>
      <c r="D15" s="33" t="s">
        <v>18</v>
      </c>
      <c r="E15" s="2"/>
    </row>
    <row r="16" spans="1:5" ht="45" customHeight="1">
      <c r="A16" s="26">
        <v>14</v>
      </c>
      <c r="B16" s="27"/>
      <c r="C16" s="28" t="s">
        <v>22</v>
      </c>
      <c r="D16" s="29" t="s">
        <v>23</v>
      </c>
      <c r="E16" s="1"/>
    </row>
    <row r="17" spans="1:5" ht="45" customHeight="1">
      <c r="A17" s="34">
        <v>15</v>
      </c>
      <c r="B17" s="35"/>
      <c r="C17" s="18" t="s">
        <v>24</v>
      </c>
      <c r="D17" s="36" t="s">
        <v>23</v>
      </c>
      <c r="E17" s="3"/>
    </row>
    <row r="18" spans="1:5" ht="45" customHeight="1">
      <c r="A18" s="34">
        <v>16</v>
      </c>
      <c r="B18" s="35"/>
      <c r="C18" s="18" t="s">
        <v>25</v>
      </c>
      <c r="D18" s="36" t="s">
        <v>23</v>
      </c>
      <c r="E18" s="3"/>
    </row>
    <row r="19" spans="1:5" ht="45" customHeight="1">
      <c r="A19" s="34">
        <v>17</v>
      </c>
      <c r="B19" s="35"/>
      <c r="C19" s="18" t="s">
        <v>26</v>
      </c>
      <c r="D19" s="36" t="s">
        <v>23</v>
      </c>
      <c r="E19" s="3"/>
    </row>
    <row r="20" spans="1:5" ht="45" customHeight="1" thickBot="1">
      <c r="A20" s="30">
        <v>18</v>
      </c>
      <c r="B20" s="31"/>
      <c r="C20" s="32" t="s">
        <v>27</v>
      </c>
      <c r="D20" s="33" t="s">
        <v>28</v>
      </c>
      <c r="E20" s="3"/>
    </row>
    <row r="21" spans="1:5" ht="45" customHeight="1">
      <c r="A21" s="26">
        <v>19</v>
      </c>
      <c r="B21" s="27"/>
      <c r="C21" s="28" t="s">
        <v>29</v>
      </c>
      <c r="D21" s="29" t="s">
        <v>30</v>
      </c>
      <c r="E21" s="1"/>
    </row>
    <row r="22" spans="1:5" ht="45" customHeight="1">
      <c r="A22" s="34">
        <v>20</v>
      </c>
      <c r="B22" s="35"/>
      <c r="C22" s="18" t="s">
        <v>31</v>
      </c>
      <c r="D22" s="36" t="s">
        <v>30</v>
      </c>
      <c r="E22" s="3"/>
    </row>
    <row r="23" spans="1:5" ht="45" customHeight="1">
      <c r="A23" s="34">
        <v>21</v>
      </c>
      <c r="B23" s="35"/>
      <c r="C23" s="18" t="s">
        <v>32</v>
      </c>
      <c r="D23" s="36" t="s">
        <v>30</v>
      </c>
      <c r="E23" s="3"/>
    </row>
    <row r="24" spans="1:5" ht="45" customHeight="1" thickBot="1">
      <c r="A24" s="30">
        <v>22</v>
      </c>
      <c r="B24" s="31"/>
      <c r="C24" s="32" t="s">
        <v>33</v>
      </c>
      <c r="D24" s="33" t="s">
        <v>30</v>
      </c>
      <c r="E24" s="2"/>
    </row>
    <row r="25" spans="1:5" ht="45" customHeight="1">
      <c r="A25" s="26">
        <v>23</v>
      </c>
      <c r="B25" s="27"/>
      <c r="C25" s="28" t="s">
        <v>34</v>
      </c>
      <c r="D25" s="29" t="s">
        <v>30</v>
      </c>
      <c r="E25" s="1"/>
    </row>
    <row r="26" spans="1:5" ht="45" customHeight="1" thickBot="1">
      <c r="A26" s="30">
        <v>24</v>
      </c>
      <c r="B26" s="31"/>
      <c r="C26" s="32" t="s">
        <v>35</v>
      </c>
      <c r="D26" s="33" t="s">
        <v>36</v>
      </c>
      <c r="E26" s="2">
        <v>49575</v>
      </c>
    </row>
    <row r="27" spans="1:5" ht="45" customHeight="1">
      <c r="A27" s="26">
        <v>25</v>
      </c>
      <c r="B27" s="27"/>
      <c r="C27" s="28" t="s">
        <v>37</v>
      </c>
      <c r="D27" s="29" t="s">
        <v>38</v>
      </c>
      <c r="E27" s="1"/>
    </row>
    <row r="28" spans="1:5" ht="45" customHeight="1">
      <c r="A28" s="34">
        <v>26</v>
      </c>
      <c r="B28" s="35"/>
      <c r="C28" s="18" t="s">
        <v>39</v>
      </c>
      <c r="D28" s="36" t="s">
        <v>18</v>
      </c>
      <c r="E28" s="3"/>
    </row>
    <row r="29" spans="1:5" ht="45" customHeight="1">
      <c r="A29" s="34">
        <v>27</v>
      </c>
      <c r="B29" s="35"/>
      <c r="C29" s="18" t="s">
        <v>40</v>
      </c>
      <c r="D29" s="36" t="s">
        <v>23</v>
      </c>
      <c r="E29" s="3"/>
    </row>
    <row r="30" spans="1:5" ht="45" customHeight="1" thickBot="1">
      <c r="A30" s="30">
        <v>28</v>
      </c>
      <c r="B30" s="31"/>
      <c r="C30" s="32" t="s">
        <v>41</v>
      </c>
      <c r="D30" s="33" t="s">
        <v>30</v>
      </c>
      <c r="E30" s="2"/>
    </row>
  </sheetData>
  <sheetProtection algorithmName="SHA-512" hashValue="FrQnQsNgXt9/ZPxQ4qXfZwEvEG0Luka79yg+1l2n6qnY1LFzEkSLyAmSjbeJm5PHrCegQttV/L7crb+Rbccyrg==" saltValue="ICPxdmXtDop6gjqz7Qh8ZA==" spinCount="100000" sheet="1" objects="1" scenarios="1" autoFilter="0"/>
  <mergeCells count="2">
    <mergeCell ref="B2:C2"/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1:V366"/>
  <sheetViews>
    <sheetView showGridLines="0" workbookViewId="0">
      <selection activeCell="X11" sqref="X11"/>
    </sheetView>
  </sheetViews>
  <sheetFormatPr defaultRowHeight="14.25"/>
  <cols>
    <col min="1" max="1" width="65.375" style="11" customWidth="1"/>
    <col min="2" max="2" width="9" style="11" customWidth="1"/>
    <col min="3" max="3" width="38" style="11" customWidth="1"/>
    <col min="4" max="4" width="14" style="11" customWidth="1"/>
    <col min="5" max="5" width="30" style="11" customWidth="1"/>
    <col min="6" max="22" width="0" style="11" hidden="1" customWidth="1"/>
    <col min="23" max="16384" width="9" style="11"/>
  </cols>
  <sheetData>
    <row r="1" spans="2:22" ht="15">
      <c r="B1" s="37" t="s">
        <v>441</v>
      </c>
      <c r="C1" s="37"/>
      <c r="D1" s="37"/>
      <c r="E1" s="37"/>
      <c r="F1" s="38"/>
      <c r="G1" s="38"/>
      <c r="H1" s="38"/>
      <c r="I1" s="38"/>
      <c r="L1" s="39" t="s">
        <v>442</v>
      </c>
      <c r="M1" s="39"/>
      <c r="N1" s="39"/>
      <c r="O1" s="39"/>
      <c r="P1" s="39"/>
      <c r="Q1" s="39"/>
      <c r="R1" s="39"/>
      <c r="S1" s="39"/>
      <c r="T1" s="39"/>
    </row>
    <row r="2" spans="2:22" ht="15">
      <c r="B2" s="40" t="s">
        <v>444</v>
      </c>
      <c r="C2" s="40"/>
      <c r="D2" s="9"/>
      <c r="E2" s="9"/>
      <c r="F2" s="9"/>
      <c r="L2" s="41">
        <f>'Бартер оружие'!A3</f>
        <v>1</v>
      </c>
      <c r="M2" s="41" t="str">
        <f>'Бартер оружие'!C3</f>
        <v>АК-15</v>
      </c>
      <c r="N2" s="41" t="str">
        <f>'Бартер оружие'!D3</f>
        <v>Мастер</v>
      </c>
      <c r="O2" s="41" t="str">
        <f>'Бартер оружие'!E3</f>
        <v>Автоматы</v>
      </c>
      <c r="P2" s="41" t="str">
        <f>"Оружие"</f>
        <v>Оружие</v>
      </c>
      <c r="Q2" s="42">
        <f>IF(ISNUMBER('Бартер оружие'!G8), 'Бартер оружие'!G8, "")</f>
        <v>2280000</v>
      </c>
      <c r="R2" s="43">
        <v>2</v>
      </c>
      <c r="S2" s="41" t="s">
        <v>445</v>
      </c>
      <c r="T2" s="41" t="s">
        <v>446</v>
      </c>
      <c r="U2" s="44">
        <f t="shared" ref="U2:U65" si="0">IF(IF($D$2="",1,--ISNUMBER(SEARCH($D$2,M2)))*IF($D$3="Все",1,--(O2=$D$3))=1,1,0)</f>
        <v>1</v>
      </c>
      <c r="V2" s="44">
        <f>IF(U2=1,SUM($U$2:U2),"")</f>
        <v>1</v>
      </c>
    </row>
    <row r="3" spans="2:22" ht="15">
      <c r="B3" s="40" t="s">
        <v>45</v>
      </c>
      <c r="C3" s="40"/>
      <c r="D3" s="9" t="s">
        <v>833</v>
      </c>
      <c r="E3" s="9"/>
      <c r="F3" s="9"/>
      <c r="L3" s="41">
        <f>'Бартер оружие'!A10</f>
        <v>2</v>
      </c>
      <c r="M3" s="41" t="str">
        <f>'Бартер оружие'!C10</f>
        <v>FN F2000 Tactical</v>
      </c>
      <c r="N3" s="41" t="str">
        <f>'Бартер оружие'!D10</f>
        <v>Мастер</v>
      </c>
      <c r="O3" s="41" t="str">
        <f>'Бартер оружие'!E10</f>
        <v>Автоматы</v>
      </c>
      <c r="P3" s="41" t="str">
        <f>"Оружие"</f>
        <v>Оружие</v>
      </c>
      <c r="Q3" s="42">
        <f>IF(ISNUMBER('Бартер оружие'!G15), 'Бартер оружие'!G15, "")</f>
        <v>2280000</v>
      </c>
      <c r="R3" s="43">
        <v>2</v>
      </c>
      <c r="S3" s="41" t="s">
        <v>447</v>
      </c>
      <c r="T3" s="41" t="s">
        <v>448</v>
      </c>
      <c r="U3" s="44">
        <f t="shared" si="0"/>
        <v>1</v>
      </c>
      <c r="V3" s="44">
        <f>IF(U3=1,SUM($U$2:U3),"")</f>
        <v>2</v>
      </c>
    </row>
    <row r="4" spans="2:22" ht="15">
      <c r="B4" s="45" t="s">
        <v>42</v>
      </c>
      <c r="C4" s="45" t="s">
        <v>443</v>
      </c>
      <c r="D4" s="45" t="s">
        <v>44</v>
      </c>
      <c r="E4" s="45" t="s">
        <v>45</v>
      </c>
      <c r="I4" s="46"/>
      <c r="L4" s="41">
        <f>'Бартер оружие'!A17</f>
        <v>3</v>
      </c>
      <c r="M4" s="41" t="str">
        <f>'Бартер оружие'!C17</f>
        <v>K2C1</v>
      </c>
      <c r="N4" s="41" t="str">
        <f>'Бартер оружие'!D17</f>
        <v>Мастер</v>
      </c>
      <c r="O4" s="41" t="str">
        <f>'Бартер оружие'!E17</f>
        <v>Автоматы</v>
      </c>
      <c r="P4" s="41" t="s">
        <v>835</v>
      </c>
      <c r="Q4" s="42">
        <f>IF(ISNUMBER('Бартер оружие'!G22), 'Бартер оружие'!G22, "")</f>
        <v>2280000</v>
      </c>
      <c r="R4" s="43">
        <v>1</v>
      </c>
      <c r="S4" s="41" t="s">
        <v>836</v>
      </c>
      <c r="T4" s="41" t="s">
        <v>837</v>
      </c>
      <c r="U4" s="44">
        <f t="shared" si="0"/>
        <v>1</v>
      </c>
      <c r="V4" s="44">
        <f>IF(U4=1,SUM($U$2:U4),"")</f>
        <v>3</v>
      </c>
    </row>
    <row r="5" spans="2:22">
      <c r="B5" s="47">
        <f>IFERROR(IF(MATCH(1,$V$2:$V$362,0)&gt;0,1,""),"")</f>
        <v>1</v>
      </c>
      <c r="C5" s="4" t="str">
        <f>IFERROR(INDEX($L$2:$Q$362,MATCH(1,$V$2:$V$362,0),2),"")</f>
        <v>АК-15</v>
      </c>
      <c r="D5" s="48" t="str">
        <f>IFERROR(INDEX($L$2:$Q$362,MATCH(1,$V$2:$V$362,0),3),"")</f>
        <v>Мастер</v>
      </c>
      <c r="E5" s="47" t="str">
        <f>IFERROR(INDEX($L$2:$Q$362,MATCH(1,$V$2:$V$362,0),4),"")</f>
        <v>Автоматы</v>
      </c>
      <c r="I5" s="46"/>
      <c r="L5" s="41">
        <f>'Бартер оружие'!A24</f>
        <v>4</v>
      </c>
      <c r="M5" s="41" t="str">
        <f>'Бартер оружие'!C24</f>
        <v>А-545</v>
      </c>
      <c r="N5" s="41" t="str">
        <f>'Бартер оружие'!D24</f>
        <v>Мастер</v>
      </c>
      <c r="O5" s="41" t="str">
        <f>'Бартер оружие'!E24</f>
        <v>Автоматы</v>
      </c>
      <c r="P5" s="41" t="s">
        <v>835</v>
      </c>
      <c r="Q5" s="42">
        <f>IF(ISNUMBER('Бартер оружие'!G29), 'Бартер оружие'!G29, "")</f>
        <v>2220000</v>
      </c>
      <c r="R5" s="43">
        <v>1</v>
      </c>
      <c r="S5" s="41" t="s">
        <v>838</v>
      </c>
      <c r="T5" s="41" t="s">
        <v>839</v>
      </c>
      <c r="U5" s="44">
        <f t="shared" si="0"/>
        <v>1</v>
      </c>
      <c r="V5" s="44">
        <f>IF(U5=1,SUM($U$2:U5),"")</f>
        <v>4</v>
      </c>
    </row>
    <row r="6" spans="2:22">
      <c r="B6" s="47">
        <f>IFERROR(IF(MATCH(2,$V$2:$V$362,0)&gt;0,2,""),"")</f>
        <v>2</v>
      </c>
      <c r="C6" s="4" t="str">
        <f>IFERROR(INDEX($L$2:$Q$362,MATCH(2,$V$2:$V$362,0),2),"")</f>
        <v>FN F2000 Tactical</v>
      </c>
      <c r="D6" s="48" t="str">
        <f>IFERROR(INDEX($L$2:$Q$362,MATCH(2,$V$2:$V$362,0),3),"")</f>
        <v>Мастер</v>
      </c>
      <c r="E6" s="47" t="str">
        <f>IFERROR(INDEX($L$2:$Q$362,MATCH(2,$V$2:$V$362,0),4),"")</f>
        <v>Автоматы</v>
      </c>
      <c r="I6" s="46"/>
      <c r="L6" s="41">
        <f>'Бартер оружие'!A31</f>
        <v>5</v>
      </c>
      <c r="M6" s="41" t="str">
        <f>'Бартер оружие'!C31</f>
        <v>АМБ-17</v>
      </c>
      <c r="N6" s="41" t="str">
        <f>'Бартер оружие'!D31</f>
        <v>Мастер</v>
      </c>
      <c r="O6" s="41" t="str">
        <f>'Бартер оружие'!E31</f>
        <v>Автоматы</v>
      </c>
      <c r="P6" s="41" t="str">
        <f t="shared" ref="P6:P37" si="1">"Оружие"</f>
        <v>Оружие</v>
      </c>
      <c r="Q6" s="42">
        <f>IF(ISNUMBER('Бартер оружие'!G36), 'Бартер оружие'!G36, "")</f>
        <v>2220000</v>
      </c>
      <c r="R6" s="43">
        <v>1</v>
      </c>
      <c r="S6" s="41" t="s">
        <v>65</v>
      </c>
      <c r="T6" s="41" t="s">
        <v>449</v>
      </c>
      <c r="U6" s="44">
        <f t="shared" si="0"/>
        <v>1</v>
      </c>
      <c r="V6" s="44">
        <f>IF(U6=1,SUM($U$2:U6),"")</f>
        <v>5</v>
      </c>
    </row>
    <row r="7" spans="2:22">
      <c r="B7" s="47">
        <f>IFERROR(IF(MATCH(3,$V$2:$V$362,0)&gt;0,3,""),"")</f>
        <v>3</v>
      </c>
      <c r="C7" s="4" t="str">
        <f>IFERROR(INDEX($L$2:$Q$362,MATCH(3,$V$2:$V$362,0),2),"")</f>
        <v>K2C1</v>
      </c>
      <c r="D7" s="48" t="str">
        <f>IFERROR(INDEX($L$2:$Q$362,MATCH(3,$V$2:$V$362,0),3),"")</f>
        <v>Мастер</v>
      </c>
      <c r="E7" s="47" t="str">
        <f>IFERROR(INDEX($L$2:$Q$362,MATCH(3,$V$2:$V$362,0),4),"")</f>
        <v>Автоматы</v>
      </c>
      <c r="I7" s="46"/>
      <c r="L7" s="41">
        <f>'Бартер оружие'!A38</f>
        <v>6</v>
      </c>
      <c r="M7" s="41" t="str">
        <f>'Бартер оружие'!C38</f>
        <v>KS-1</v>
      </c>
      <c r="N7" s="41" t="str">
        <f>'Бартер оружие'!D38</f>
        <v>Мастер</v>
      </c>
      <c r="O7" s="41" t="str">
        <f>'Бартер оружие'!E38</f>
        <v>Автоматы</v>
      </c>
      <c r="P7" s="41" t="str">
        <f t="shared" si="1"/>
        <v>Оружие</v>
      </c>
      <c r="Q7" s="42">
        <f>IF(ISNUMBER('Бартер оружие'!G43), 'Бартер оружие'!G43, "")</f>
        <v>2220000</v>
      </c>
      <c r="R7" s="43">
        <v>1</v>
      </c>
      <c r="S7" s="41" t="s">
        <v>67</v>
      </c>
      <c r="T7" s="41" t="s">
        <v>450</v>
      </c>
      <c r="U7" s="44">
        <f t="shared" si="0"/>
        <v>1</v>
      </c>
      <c r="V7" s="44">
        <f>IF(U7=1,SUM($U$2:U7),"")</f>
        <v>6</v>
      </c>
    </row>
    <row r="8" spans="2:22">
      <c r="B8" s="47">
        <f>IFERROR(IF(MATCH(4,$V$2:$V$362,0)&gt;0,4,""),"")</f>
        <v>4</v>
      </c>
      <c r="C8" s="4" t="str">
        <f>IFERROR(INDEX($L$2:$Q$362,MATCH(4,$V$2:$V$362,0),2),"")</f>
        <v>А-545</v>
      </c>
      <c r="D8" s="48" t="str">
        <f>IFERROR(INDEX($L$2:$Q$362,MATCH(4,$V$2:$V$362,0),3),"")</f>
        <v>Мастер</v>
      </c>
      <c r="E8" s="47" t="str">
        <f>IFERROR(INDEX($L$2:$Q$362,MATCH(4,$V$2:$V$362,0),4),"")</f>
        <v>Автоматы</v>
      </c>
      <c r="I8" s="46"/>
      <c r="L8" s="41">
        <f>'Бартер оружие'!A45</f>
        <v>7</v>
      </c>
      <c r="M8" s="41" t="str">
        <f>'Бартер оружие'!C45</f>
        <v>ВСС-М «Винторез»</v>
      </c>
      <c r="N8" s="41" t="str">
        <f>'Бартер оружие'!D45</f>
        <v>Мастер</v>
      </c>
      <c r="O8" s="41" t="str">
        <f>'Бартер оружие'!E45</f>
        <v>Снайперские винтовки</v>
      </c>
      <c r="P8" s="41" t="str">
        <f t="shared" si="1"/>
        <v>Оружие</v>
      </c>
      <c r="Q8" s="42">
        <f>IF(ISNUMBER('Бартер оружие'!G50), 'Бартер оружие'!G50, "")</f>
        <v>2140000</v>
      </c>
      <c r="R8" s="43">
        <v>1</v>
      </c>
      <c r="S8" s="41" t="s">
        <v>70</v>
      </c>
      <c r="T8" s="41" t="s">
        <v>451</v>
      </c>
      <c r="U8" s="44">
        <f t="shared" si="0"/>
        <v>1</v>
      </c>
      <c r="V8" s="44">
        <f>IF(U8=1,SUM($U$2:U8),"")</f>
        <v>7</v>
      </c>
    </row>
    <row r="9" spans="2:22">
      <c r="B9" s="47">
        <f>IFERROR(IF(MATCH(5,$V$2:$V$362,0)&gt;0,5,""),"")</f>
        <v>5</v>
      </c>
      <c r="C9" s="4" t="str">
        <f>IFERROR(INDEX($L$2:$Q$362,MATCH(5,$V$2:$V$362,0),2),"")</f>
        <v>АМБ-17</v>
      </c>
      <c r="D9" s="48" t="str">
        <f>IFERROR(INDEX($L$2:$Q$362,MATCH(5,$V$2:$V$362,0),3),"")</f>
        <v>Мастер</v>
      </c>
      <c r="E9" s="47" t="str">
        <f>IFERROR(INDEX($L$2:$Q$362,MATCH(5,$V$2:$V$362,0),4),"")</f>
        <v>Автоматы</v>
      </c>
      <c r="I9" s="46"/>
      <c r="L9" s="41">
        <f>'Бартер оружие'!A52</f>
        <v>8</v>
      </c>
      <c r="M9" s="41" t="str">
        <f>'Бартер оружие'!C52</f>
        <v>СВД-М</v>
      </c>
      <c r="N9" s="41" t="str">
        <f>'Бартер оружие'!D52</f>
        <v>Мастер</v>
      </c>
      <c r="O9" s="41" t="str">
        <f>'Бартер оружие'!E52</f>
        <v>Снайперские винтовки</v>
      </c>
      <c r="P9" s="41" t="str">
        <f t="shared" si="1"/>
        <v>Оружие</v>
      </c>
      <c r="Q9" s="42">
        <f>IF(ISNUMBER('Бартер оружие'!G57), 'Бартер оружие'!G57, "")</f>
        <v>1920000</v>
      </c>
      <c r="R9" s="43">
        <v>2</v>
      </c>
      <c r="S9" s="41" t="s">
        <v>452</v>
      </c>
      <c r="T9" s="41" t="s">
        <v>453</v>
      </c>
      <c r="U9" s="44">
        <f t="shared" si="0"/>
        <v>1</v>
      </c>
      <c r="V9" s="44">
        <f>IF(U9=1,SUM($U$2:U9),"")</f>
        <v>8</v>
      </c>
    </row>
    <row r="10" spans="2:22">
      <c r="B10" s="47">
        <f>IFERROR(IF(MATCH(6,$V$2:$V$362,0)&gt;0,6,""),"")</f>
        <v>6</v>
      </c>
      <c r="C10" s="4" t="str">
        <f>IFERROR(INDEX($L$2:$Q$362,MATCH(6,$V$2:$V$362,0),2),"")</f>
        <v>KS-1</v>
      </c>
      <c r="D10" s="48" t="str">
        <f>IFERROR(INDEX($L$2:$Q$362,MATCH(6,$V$2:$V$362,0),3),"")</f>
        <v>Мастер</v>
      </c>
      <c r="E10" s="47" t="str">
        <f>IFERROR(INDEX($L$2:$Q$362,MATCH(6,$V$2:$V$362,0),4),"")</f>
        <v>Автоматы</v>
      </c>
      <c r="I10" s="46"/>
      <c r="L10" s="41">
        <f>'Бартер оружие'!A59</f>
        <v>9</v>
      </c>
      <c r="M10" s="41" t="str">
        <f>'Бартер оружие'!C59</f>
        <v>L96A1</v>
      </c>
      <c r="N10" s="41" t="str">
        <f>'Бартер оружие'!D59</f>
        <v>Мастер</v>
      </c>
      <c r="O10" s="41" t="str">
        <f>'Бартер оружие'!E59</f>
        <v>Снайперские винтовки</v>
      </c>
      <c r="P10" s="41" t="str">
        <f t="shared" si="1"/>
        <v>Оружие</v>
      </c>
      <c r="Q10" s="42">
        <f>IF(ISNUMBER('Бартер оружие'!G64), 'Бартер оружие'!G64, "")</f>
        <v>1920000</v>
      </c>
      <c r="R10" s="43">
        <v>1</v>
      </c>
      <c r="S10" s="41" t="s">
        <v>75</v>
      </c>
      <c r="T10" s="41" t="s">
        <v>454</v>
      </c>
      <c r="U10" s="44">
        <f t="shared" si="0"/>
        <v>1</v>
      </c>
      <c r="V10" s="44">
        <f>IF(U10=1,SUM($U$2:U10),"")</f>
        <v>9</v>
      </c>
    </row>
    <row r="11" spans="2:22">
      <c r="B11" s="47">
        <f>IFERROR(IF(MATCH(7,$V$2:$V$362,0)&gt;0,7,""),"")</f>
        <v>7</v>
      </c>
      <c r="C11" s="4" t="str">
        <f>IFERROR(INDEX($L$2:$Q$362,MATCH(7,$V$2:$V$362,0),2),"")</f>
        <v>ВСС-М «Винторез»</v>
      </c>
      <c r="D11" s="48" t="str">
        <f>IFERROR(INDEX($L$2:$Q$362,MATCH(7,$V$2:$V$362,0),3),"")</f>
        <v>Мастер</v>
      </c>
      <c r="E11" s="47" t="str">
        <f>IFERROR(INDEX($L$2:$Q$362,MATCH(7,$V$2:$V$362,0),4),"")</f>
        <v>Снайперские винтовки</v>
      </c>
      <c r="I11" s="46"/>
      <c r="L11" s="41">
        <f>'Бартер оружие'!A66</f>
        <v>10</v>
      </c>
      <c r="M11" s="41" t="str">
        <f>'Бартер оружие'!C66</f>
        <v>Mk 14 EBR</v>
      </c>
      <c r="N11" s="41" t="str">
        <f>'Бартер оружие'!D66</f>
        <v>Мастер</v>
      </c>
      <c r="O11" s="41" t="str">
        <f>'Бартер оружие'!E66</f>
        <v>Снайперские винтовки</v>
      </c>
      <c r="P11" s="41" t="str">
        <f t="shared" si="1"/>
        <v>Оружие</v>
      </c>
      <c r="Q11" s="42">
        <f>IF(ISNUMBER('Бартер оружие'!G71), 'Бартер оружие'!G71, "")</f>
        <v>1920000</v>
      </c>
      <c r="R11" s="43">
        <v>1</v>
      </c>
      <c r="S11" s="41" t="s">
        <v>77</v>
      </c>
      <c r="T11" s="41" t="s">
        <v>455</v>
      </c>
      <c r="U11" s="44">
        <f t="shared" si="0"/>
        <v>1</v>
      </c>
      <c r="V11" s="44">
        <f>IF(U11=1,SUM($U$2:U11),"")</f>
        <v>10</v>
      </c>
    </row>
    <row r="12" spans="2:22">
      <c r="B12" s="47">
        <f>IFERROR(IF(MATCH(8,$V$2:$V$362,0)&gt;0,8,""),"")</f>
        <v>8</v>
      </c>
      <c r="C12" s="4" t="str">
        <f>IFERROR(INDEX($L$2:$Q$362,MATCH(8,$V$2:$V$362,0),2),"")</f>
        <v>СВД-М</v>
      </c>
      <c r="D12" s="48" t="str">
        <f>IFERROR(INDEX($L$2:$Q$362,MATCH(8,$V$2:$V$362,0),3),"")</f>
        <v>Мастер</v>
      </c>
      <c r="E12" s="47" t="str">
        <f>IFERROR(INDEX($L$2:$Q$362,MATCH(8,$V$2:$V$362,0),4),"")</f>
        <v>Снайперские винтовки</v>
      </c>
      <c r="I12" s="46"/>
      <c r="L12" s="41">
        <f>'Бартер оружие'!A73</f>
        <v>11</v>
      </c>
      <c r="M12" s="41" t="str">
        <f>'Бартер оружие'!C73</f>
        <v>ПКП «Печенег»</v>
      </c>
      <c r="N12" s="41" t="str">
        <f>'Бартер оружие'!D73</f>
        <v>Мастер</v>
      </c>
      <c r="O12" s="41" t="str">
        <f>'Бартер оружие'!E73</f>
        <v>Пулеметы</v>
      </c>
      <c r="P12" s="41" t="str">
        <f t="shared" si="1"/>
        <v>Оружие</v>
      </c>
      <c r="Q12" s="42">
        <f>IF(ISNUMBER('Бартер оружие'!G78), 'Бартер оружие'!G78, "")</f>
        <v>2000000</v>
      </c>
      <c r="R12" s="43">
        <v>1</v>
      </c>
      <c r="S12" s="41" t="s">
        <v>80</v>
      </c>
      <c r="T12" s="41" t="s">
        <v>456</v>
      </c>
      <c r="U12" s="44">
        <f t="shared" si="0"/>
        <v>1</v>
      </c>
      <c r="V12" s="44">
        <f>IF(U12=1,SUM($U$2:U12),"")</f>
        <v>11</v>
      </c>
    </row>
    <row r="13" spans="2:22">
      <c r="B13" s="47">
        <f>IFERROR(IF(MATCH(9,$V$2:$V$362,0)&gt;0,9,""),"")</f>
        <v>9</v>
      </c>
      <c r="C13" s="4" t="str">
        <f>IFERROR(INDEX($L$2:$Q$362,MATCH(9,$V$2:$V$362,0),2),"")</f>
        <v>L96A1</v>
      </c>
      <c r="D13" s="48" t="str">
        <f>IFERROR(INDEX($L$2:$Q$362,MATCH(9,$V$2:$V$362,0),3),"")</f>
        <v>Мастер</v>
      </c>
      <c r="E13" s="47" t="str">
        <f>IFERROR(INDEX($L$2:$Q$362,MATCH(9,$V$2:$V$362,0),4),"")</f>
        <v>Снайперские винтовки</v>
      </c>
      <c r="I13" s="46"/>
      <c r="L13" s="41">
        <f>'Бартер оружие'!A80</f>
        <v>12</v>
      </c>
      <c r="M13" s="41" t="str">
        <f>'Бартер оружие'!C80</f>
        <v>SIG MPX</v>
      </c>
      <c r="N13" s="41" t="str">
        <f>'Бартер оружие'!D80</f>
        <v>Мастер</v>
      </c>
      <c r="O13" s="41" t="str">
        <f>'Бартер оружие'!E80</f>
        <v>Пистолеты-пулеметы</v>
      </c>
      <c r="P13" s="41" t="str">
        <f t="shared" si="1"/>
        <v>Оружие</v>
      </c>
      <c r="Q13" s="42">
        <f>IF(ISNUMBER('Бартер оружие'!G85), 'Бартер оружие'!G85, "")</f>
        <v>1960000</v>
      </c>
      <c r="R13" s="43">
        <v>1</v>
      </c>
      <c r="S13" s="41" t="s">
        <v>83</v>
      </c>
      <c r="T13" s="41" t="s">
        <v>457</v>
      </c>
      <c r="U13" s="44">
        <f t="shared" si="0"/>
        <v>1</v>
      </c>
      <c r="V13" s="44">
        <f>IF(U13=1,SUM($U$2:U13),"")</f>
        <v>12</v>
      </c>
    </row>
    <row r="14" spans="2:22">
      <c r="B14" s="47">
        <f>IFERROR(IF(MATCH(10,$V$2:$V$362,0)&gt;0,10,""),"")</f>
        <v>10</v>
      </c>
      <c r="C14" s="4" t="str">
        <f>IFERROR(INDEX($L$2:$Q$362,MATCH(10,$V$2:$V$362,0),2),"")</f>
        <v>Mk 14 EBR</v>
      </c>
      <c r="D14" s="48" t="str">
        <f>IFERROR(INDEX($L$2:$Q$362,MATCH(10,$V$2:$V$362,0),3),"")</f>
        <v>Мастер</v>
      </c>
      <c r="E14" s="47" t="str">
        <f>IFERROR(INDEX($L$2:$Q$362,MATCH(10,$V$2:$V$362,0),4),"")</f>
        <v>Снайперские винтовки</v>
      </c>
      <c r="I14" s="46"/>
      <c r="L14" s="41">
        <f>'Бартер оружие'!A87</f>
        <v>13</v>
      </c>
      <c r="M14" s="41" t="str">
        <f>'Бартер оружие'!C87</f>
        <v>TDI KRISS Vector</v>
      </c>
      <c r="N14" s="41" t="str">
        <f>'Бартер оружие'!D87</f>
        <v>Мастер</v>
      </c>
      <c r="O14" s="41" t="str">
        <f>'Бартер оружие'!E87</f>
        <v>Пистолеты-пулеметы</v>
      </c>
      <c r="P14" s="41" t="str">
        <f t="shared" si="1"/>
        <v>Оружие</v>
      </c>
      <c r="Q14" s="42">
        <f>IF(ISNUMBER('Бартер оружие'!G92), 'Бартер оружие'!G92, "")</f>
        <v>1960000</v>
      </c>
      <c r="R14" s="43">
        <v>2</v>
      </c>
      <c r="S14" s="41" t="s">
        <v>458</v>
      </c>
      <c r="T14" s="41" t="s">
        <v>459</v>
      </c>
      <c r="U14" s="44">
        <f t="shared" si="0"/>
        <v>1</v>
      </c>
      <c r="V14" s="44">
        <f>IF(U14=1,SUM($U$2:U14),"")</f>
        <v>13</v>
      </c>
    </row>
    <row r="15" spans="2:22">
      <c r="B15" s="47">
        <f>IFERROR(IF(MATCH(11,$V$2:$V$362,0)&gt;0,11,""),"")</f>
        <v>11</v>
      </c>
      <c r="C15" s="4" t="str">
        <f>IFERROR(INDEX($L$2:$Q$362,MATCH(11,$V$2:$V$362,0),2),"")</f>
        <v>ПКП «Печенег»</v>
      </c>
      <c r="D15" s="48" t="str">
        <f>IFERROR(INDEX($L$2:$Q$362,MATCH(11,$V$2:$V$362,0),3),"")</f>
        <v>Мастер</v>
      </c>
      <c r="E15" s="47" t="str">
        <f>IFERROR(INDEX($L$2:$Q$362,MATCH(11,$V$2:$V$362,0),4),"")</f>
        <v>Пулеметы</v>
      </c>
      <c r="I15" s="46"/>
      <c r="L15" s="41">
        <f>'Бартер оружие'!A94</f>
        <v>14</v>
      </c>
      <c r="M15" s="41" t="str">
        <f>'Бартер оружие'!C94</f>
        <v>ППК-20</v>
      </c>
      <c r="N15" s="41" t="str">
        <f>'Бартер оружие'!D94</f>
        <v>Мастер</v>
      </c>
      <c r="O15" s="41" t="str">
        <f>'Бартер оружие'!E94</f>
        <v>Пистолеты-пулеметы</v>
      </c>
      <c r="P15" s="41" t="str">
        <f t="shared" si="1"/>
        <v>Оружие</v>
      </c>
      <c r="Q15" s="42">
        <f>IF(ISNUMBER('Бартер оружие'!G99), 'Бартер оружие'!G99, "")</f>
        <v>1910000</v>
      </c>
      <c r="R15" s="43">
        <v>1</v>
      </c>
      <c r="S15" s="41" t="s">
        <v>88</v>
      </c>
      <c r="T15" s="41" t="s">
        <v>460</v>
      </c>
      <c r="U15" s="44">
        <f t="shared" si="0"/>
        <v>1</v>
      </c>
      <c r="V15" s="44">
        <f>IF(U15=1,SUM($U$2:U15),"")</f>
        <v>14</v>
      </c>
    </row>
    <row r="16" spans="2:22">
      <c r="B16" s="47">
        <f>IFERROR(IF(MATCH(12,$V$2:$V$362,0)&gt;0,12,""),"")</f>
        <v>12</v>
      </c>
      <c r="C16" s="4" t="str">
        <f>IFERROR(INDEX($L$2:$Q$362,MATCH(12,$V$2:$V$362,0),2),"")</f>
        <v>SIG MPX</v>
      </c>
      <c r="D16" s="48" t="str">
        <f>IFERROR(INDEX($L$2:$Q$362,MATCH(12,$V$2:$V$362,0),3),"")</f>
        <v>Мастер</v>
      </c>
      <c r="E16" s="47" t="str">
        <f>IFERROR(INDEX($L$2:$Q$362,MATCH(12,$V$2:$V$362,0),4),"")</f>
        <v>Пистолеты-пулеметы</v>
      </c>
      <c r="I16" s="46"/>
      <c r="L16" s="41">
        <f>'Бартер оружие'!A101</f>
        <v>15</v>
      </c>
      <c r="M16" s="41" t="str">
        <f>'Бартер оружие'!C101</f>
        <v>СР-3М</v>
      </c>
      <c r="N16" s="41" t="str">
        <f>'Бартер оружие'!D101</f>
        <v>Мастер</v>
      </c>
      <c r="O16" s="41" t="str">
        <f>'Бартер оружие'!E101</f>
        <v>Пистолеты-пулеметы</v>
      </c>
      <c r="P16" s="41" t="str">
        <f t="shared" si="1"/>
        <v>Оружие</v>
      </c>
      <c r="Q16" s="42">
        <f>IF(ISNUMBER('Бартер оружие'!G106), 'Бартер оружие'!G106, "")</f>
        <v>1907000</v>
      </c>
      <c r="R16" s="43">
        <v>1</v>
      </c>
      <c r="S16" s="41" t="s">
        <v>90</v>
      </c>
      <c r="T16" s="41" t="s">
        <v>461</v>
      </c>
      <c r="U16" s="44">
        <f t="shared" si="0"/>
        <v>1</v>
      </c>
      <c r="V16" s="44">
        <f>IF(U16=1,SUM($U$2:U16),"")</f>
        <v>15</v>
      </c>
    </row>
    <row r="17" spans="2:22">
      <c r="B17" s="47">
        <f>IFERROR(IF(MATCH(13,$V$2:$V$362,0)&gt;0,13,""),"")</f>
        <v>13</v>
      </c>
      <c r="C17" s="4" t="str">
        <f>IFERROR(INDEX($L$2:$Q$362,MATCH(13,$V$2:$V$362,0),2),"")</f>
        <v>TDI KRISS Vector</v>
      </c>
      <c r="D17" s="48" t="str">
        <f>IFERROR(INDEX($L$2:$Q$362,MATCH(13,$V$2:$V$362,0),3),"")</f>
        <v>Мастер</v>
      </c>
      <c r="E17" s="47" t="str">
        <f>IFERROR(INDEX($L$2:$Q$362,MATCH(13,$V$2:$V$362,0),4),"")</f>
        <v>Пистолеты-пулеметы</v>
      </c>
      <c r="I17" s="46"/>
      <c r="L17" s="41">
        <f>'Бартер оружие'!A108</f>
        <v>16</v>
      </c>
      <c r="M17" s="41" t="str">
        <f>'Бартер оружие'!C108</f>
        <v>ОЦ-33 «Пернач»</v>
      </c>
      <c r="N17" s="41" t="str">
        <f>'Бартер оружие'!D108</f>
        <v>Мастер</v>
      </c>
      <c r="O17" s="41" t="str">
        <f>'Бартер оружие'!E108</f>
        <v>Пистолеты</v>
      </c>
      <c r="P17" s="41" t="str">
        <f t="shared" si="1"/>
        <v>Оружие</v>
      </c>
      <c r="Q17" s="42">
        <f>IF(ISNUMBER('Бартер оружие'!G113), 'Бартер оружие'!G113, "")</f>
        <v>1550000</v>
      </c>
      <c r="R17" s="43">
        <v>2</v>
      </c>
      <c r="S17" s="41" t="s">
        <v>462</v>
      </c>
      <c r="T17" s="41" t="s">
        <v>463</v>
      </c>
      <c r="U17" s="44">
        <f t="shared" si="0"/>
        <v>1</v>
      </c>
      <c r="V17" s="44">
        <f>IF(U17=1,SUM($U$2:U17),"")</f>
        <v>16</v>
      </c>
    </row>
    <row r="18" spans="2:22">
      <c r="B18" s="47">
        <f>IFERROR(IF(MATCH(14,$V$2:$V$362,0)&gt;0,14,""),"")</f>
        <v>14</v>
      </c>
      <c r="C18" s="4" t="str">
        <f>IFERROR(INDEX($L$2:$Q$362,MATCH(14,$V$2:$V$362,0),2),"")</f>
        <v>ППК-20</v>
      </c>
      <c r="D18" s="48" t="str">
        <f>IFERROR(INDEX($L$2:$Q$362,MATCH(14,$V$2:$V$362,0),3),"")</f>
        <v>Мастер</v>
      </c>
      <c r="E18" s="47" t="str">
        <f>IFERROR(INDEX($L$2:$Q$362,MATCH(14,$V$2:$V$362,0),4),"")</f>
        <v>Пистолеты-пулеметы</v>
      </c>
      <c r="I18" s="46"/>
      <c r="L18" s="41">
        <f>'Бартер оружие'!A115</f>
        <v>17</v>
      </c>
      <c r="M18" s="41" t="str">
        <f>'Бартер оружие'!C115</f>
        <v>Desert Eagle Mark XIX</v>
      </c>
      <c r="N18" s="41" t="str">
        <f>'Бартер оружие'!D115</f>
        <v>Мастер</v>
      </c>
      <c r="O18" s="41" t="str">
        <f>'Бартер оружие'!E115</f>
        <v>Пистолеты</v>
      </c>
      <c r="P18" s="41" t="str">
        <f t="shared" si="1"/>
        <v>Оружие</v>
      </c>
      <c r="Q18" s="42">
        <f>IF(ISNUMBER('Бартер оружие'!G120), 'Бартер оружие'!G120, "")</f>
        <v>1550000</v>
      </c>
      <c r="R18" s="43">
        <v>1</v>
      </c>
      <c r="S18" s="41" t="s">
        <v>96</v>
      </c>
      <c r="T18" s="41" t="s">
        <v>464</v>
      </c>
      <c r="U18" s="44">
        <f t="shared" si="0"/>
        <v>1</v>
      </c>
      <c r="V18" s="44">
        <f>IF(U18=1,SUM($U$2:U18),"")</f>
        <v>17</v>
      </c>
    </row>
    <row r="19" spans="2:22">
      <c r="B19" s="47">
        <f>IFERROR(IF(MATCH(15,$V$2:$V$362,0)&gt;0,15,""),"")</f>
        <v>15</v>
      </c>
      <c r="C19" s="4" t="str">
        <f>IFERROR(INDEX($L$2:$Q$362,MATCH(15,$V$2:$V$362,0),2),"")</f>
        <v>СР-3М</v>
      </c>
      <c r="D19" s="48" t="str">
        <f>IFERROR(INDEX($L$2:$Q$362,MATCH(15,$V$2:$V$362,0),3),"")</f>
        <v>Мастер</v>
      </c>
      <c r="E19" s="47" t="str">
        <f>IFERROR(INDEX($L$2:$Q$362,MATCH(15,$V$2:$V$362,0),4),"")</f>
        <v>Пистолеты-пулеметы</v>
      </c>
      <c r="I19" s="46"/>
      <c r="L19" s="41">
        <f>'Бартер оружие'!A122</f>
        <v>18</v>
      </c>
      <c r="M19" s="41" t="str">
        <f>'Бартер оружие'!C122</f>
        <v>Сайга-12</v>
      </c>
      <c r="N19" s="41" t="str">
        <f>'Бартер оружие'!D122</f>
        <v>Мастер</v>
      </c>
      <c r="O19" s="41" t="str">
        <f>'Бартер оружие'!E122</f>
        <v>Дробовики и ружья</v>
      </c>
      <c r="P19" s="41" t="str">
        <f t="shared" si="1"/>
        <v>Оружие</v>
      </c>
      <c r="Q19" s="42">
        <f>IF(ISNUMBER('Бартер оружие'!G127), 'Бартер оружие'!G127, "")</f>
        <v>672000</v>
      </c>
      <c r="R19" s="43">
        <v>1</v>
      </c>
      <c r="S19" s="41" t="s">
        <v>99</v>
      </c>
      <c r="T19" s="41" t="s">
        <v>465</v>
      </c>
      <c r="U19" s="44">
        <f t="shared" si="0"/>
        <v>1</v>
      </c>
      <c r="V19" s="44">
        <f>IF(U19=1,SUM($U$2:U19),"")</f>
        <v>18</v>
      </c>
    </row>
    <row r="20" spans="2:22">
      <c r="B20" s="47">
        <f>IFERROR(IF(MATCH(16,$V$2:$V$362,0)&gt;0,16,""),"")</f>
        <v>16</v>
      </c>
      <c r="C20" s="4" t="str">
        <f>IFERROR(INDEX($L$2:$Q$362,MATCH(16,$V$2:$V$362,0),2),"")</f>
        <v>ОЦ-33 «Пернач»</v>
      </c>
      <c r="D20" s="48" t="str">
        <f>IFERROR(INDEX($L$2:$Q$362,MATCH(16,$V$2:$V$362,0),3),"")</f>
        <v>Мастер</v>
      </c>
      <c r="E20" s="47" t="str">
        <f>IFERROR(INDEX($L$2:$Q$362,MATCH(16,$V$2:$V$362,0),4),"")</f>
        <v>Пистолеты</v>
      </c>
      <c r="I20" s="46"/>
      <c r="L20" s="41">
        <f>'Бартер оружие'!A129</f>
        <v>19</v>
      </c>
      <c r="M20" s="41" t="str">
        <f>'Бартер оружие'!C129</f>
        <v>Franchi SPAS-15</v>
      </c>
      <c r="N20" s="41" t="str">
        <f>'Бартер оружие'!D129</f>
        <v>Мастер</v>
      </c>
      <c r="O20" s="41" t="str">
        <f>'Бартер оружие'!E129</f>
        <v>Дробовики и ружья</v>
      </c>
      <c r="P20" s="41" t="str">
        <f t="shared" si="1"/>
        <v>Оружие</v>
      </c>
      <c r="Q20" s="42">
        <f>IF(ISNUMBER('Бартер оружие'!G134), 'Бартер оружие'!G134, "")</f>
        <v>672000</v>
      </c>
      <c r="R20" s="43">
        <v>1</v>
      </c>
      <c r="S20" s="41" t="s">
        <v>101</v>
      </c>
      <c r="T20" s="41" t="s">
        <v>466</v>
      </c>
      <c r="U20" s="44">
        <f t="shared" si="0"/>
        <v>1</v>
      </c>
      <c r="V20" s="44">
        <f>IF(U20=1,SUM($U$2:U20),"")</f>
        <v>19</v>
      </c>
    </row>
    <row r="21" spans="2:22">
      <c r="B21" s="47">
        <f>IFERROR(IF(MATCH(17,$V$2:$V$362,0)&gt;0,17,""),"")</f>
        <v>17</v>
      </c>
      <c r="C21" s="4" t="str">
        <f>IFERROR(INDEX($L$2:$Q$362,MATCH(17,$V$2:$V$362,0),2),"")</f>
        <v>Desert Eagle Mark XIX</v>
      </c>
      <c r="D21" s="48" t="str">
        <f>IFERROR(INDEX($L$2:$Q$362,MATCH(17,$V$2:$V$362,0),3),"")</f>
        <v>Мастер</v>
      </c>
      <c r="E21" s="47" t="str">
        <f>IFERROR(INDEX($L$2:$Q$362,MATCH(17,$V$2:$V$362,0),4),"")</f>
        <v>Пистолеты</v>
      </c>
      <c r="I21" s="46"/>
      <c r="L21" s="41">
        <f>'Бартер оружие'!A136</f>
        <v>20</v>
      </c>
      <c r="M21" s="41" t="str">
        <f>'Бартер оружие'!C136</f>
        <v>MP-155 Ultima</v>
      </c>
      <c r="N21" s="41" t="str">
        <f>'Бартер оружие'!D136</f>
        <v>Мастер</v>
      </c>
      <c r="O21" s="41" t="str">
        <f>'Бартер оружие'!E136</f>
        <v>Дробовики и ружья</v>
      </c>
      <c r="P21" s="41" t="str">
        <f t="shared" si="1"/>
        <v>Оружие</v>
      </c>
      <c r="Q21" s="42">
        <f>IF(ISNUMBER('Бартер оружие'!G141), 'Бартер оружие'!G141, "")</f>
        <v>672000</v>
      </c>
      <c r="R21" s="43">
        <v>1</v>
      </c>
      <c r="S21" s="41" t="s">
        <v>103</v>
      </c>
      <c r="T21" s="41" t="s">
        <v>467</v>
      </c>
      <c r="U21" s="44">
        <f t="shared" si="0"/>
        <v>1</v>
      </c>
      <c r="V21" s="44">
        <f>IF(U21=1,SUM($U$2:U21),"")</f>
        <v>20</v>
      </c>
    </row>
    <row r="22" spans="2:22">
      <c r="B22" s="47">
        <f>IFERROR(IF(MATCH(18,$V$2:$V$362,0)&gt;0,18,""),"")</f>
        <v>18</v>
      </c>
      <c r="C22" s="4" t="str">
        <f>IFERROR(INDEX($L$2:$Q$362,MATCH(18,$V$2:$V$362,0),2),"")</f>
        <v>Сайга-12</v>
      </c>
      <c r="D22" s="48" t="str">
        <f>IFERROR(INDEX($L$2:$Q$362,MATCH(18,$V$2:$V$362,0),3),"")</f>
        <v>Мастер</v>
      </c>
      <c r="E22" s="47" t="str">
        <f>IFERROR(INDEX($L$2:$Q$362,MATCH(18,$V$2:$V$362,0),4),"")</f>
        <v>Дробовики и ружья</v>
      </c>
      <c r="I22" s="46"/>
      <c r="L22" s="41">
        <f>'Бартер оружие'!A143</f>
        <v>21</v>
      </c>
      <c r="M22" s="41" t="str">
        <f>'Бартер оружие'!C143</f>
        <v>ТОЗ-84</v>
      </c>
      <c r="N22" s="41" t="str">
        <f>'Бартер оружие'!D143</f>
        <v>Мастер</v>
      </c>
      <c r="O22" s="41" t="str">
        <f>'Бартер оружие'!E143</f>
        <v>Дробовики и ружья</v>
      </c>
      <c r="P22" s="41" t="str">
        <f t="shared" si="1"/>
        <v>Оружие</v>
      </c>
      <c r="Q22" s="42">
        <f>IF(ISNUMBER('Бартер оружие'!G148), 'Бартер оружие'!G148, "")</f>
        <v>672000</v>
      </c>
      <c r="R22" s="43">
        <v>1</v>
      </c>
      <c r="S22" s="41" t="s">
        <v>105</v>
      </c>
      <c r="T22" s="41" t="s">
        <v>468</v>
      </c>
      <c r="U22" s="44">
        <f t="shared" si="0"/>
        <v>1</v>
      </c>
      <c r="V22" s="44">
        <f>IF(U22=1,SUM($U$2:U22),"")</f>
        <v>21</v>
      </c>
    </row>
    <row r="23" spans="2:22">
      <c r="B23" s="47">
        <f>IFERROR(IF(MATCH(19,$V$2:$V$362,0)&gt;0,19,""),"")</f>
        <v>19</v>
      </c>
      <c r="C23" s="4" t="str">
        <f>IFERROR(INDEX($L$2:$Q$362,MATCH(19,$V$2:$V$362,0),2),"")</f>
        <v>Franchi SPAS-15</v>
      </c>
      <c r="D23" s="48" t="str">
        <f>IFERROR(INDEX($L$2:$Q$362,MATCH(19,$V$2:$V$362,0),3),"")</f>
        <v>Мастер</v>
      </c>
      <c r="E23" s="47" t="str">
        <f>IFERROR(INDEX($L$2:$Q$362,MATCH(19,$V$2:$V$362,0),4),"")</f>
        <v>Дробовики и ружья</v>
      </c>
      <c r="I23" s="46"/>
      <c r="L23" s="41">
        <f>'Бартер оружие'!A150</f>
        <v>22</v>
      </c>
      <c r="M23" s="41" t="str">
        <f>'Бартер оружие'!C150</f>
        <v>АШ-12</v>
      </c>
      <c r="N23" s="41" t="str">
        <f>'Бартер оружие'!D150</f>
        <v>Мастер</v>
      </c>
      <c r="O23" s="41" t="str">
        <f>'Бартер оружие'!E150</f>
        <v>Автоматы</v>
      </c>
      <c r="P23" s="41" t="str">
        <f t="shared" si="1"/>
        <v>Оружие</v>
      </c>
      <c r="Q23" s="42">
        <f>IF(ISNUMBER('Бартер оружие'!G155), 'Бартер оружие'!G155, "")</f>
        <v>2010000</v>
      </c>
      <c r="R23" s="43">
        <v>1</v>
      </c>
      <c r="S23" s="41" t="s">
        <v>107</v>
      </c>
      <c r="T23" s="41" t="s">
        <v>469</v>
      </c>
      <c r="U23" s="44">
        <f t="shared" si="0"/>
        <v>1</v>
      </c>
      <c r="V23" s="44">
        <f>IF(U23=1,SUM($U$2:U23),"")</f>
        <v>22</v>
      </c>
    </row>
    <row r="24" spans="2:22">
      <c r="B24" s="47">
        <f>IFERROR(IF(MATCH(20,$V$2:$V$362,0)&gt;0,20,""),"")</f>
        <v>20</v>
      </c>
      <c r="C24" s="4" t="str">
        <f>IFERROR(INDEX($L$2:$Q$362,MATCH(20,$V$2:$V$362,0),2),"")</f>
        <v>MP-155 Ultima</v>
      </c>
      <c r="D24" s="48" t="str">
        <f>IFERROR(INDEX($L$2:$Q$362,MATCH(20,$V$2:$V$362,0),3),"")</f>
        <v>Мастер</v>
      </c>
      <c r="E24" s="47" t="str">
        <f>IFERROR(INDEX($L$2:$Q$362,MATCH(20,$V$2:$V$362,0),4),"")</f>
        <v>Дробовики и ружья</v>
      </c>
      <c r="I24" s="46"/>
      <c r="L24" s="41">
        <f>'Бартер оружие'!A157</f>
        <v>23</v>
      </c>
      <c r="M24" s="41" t="str">
        <f>'Бартер оружие'!C157</f>
        <v>Антитеррор</v>
      </c>
      <c r="N24" s="41" t="str">
        <f>'Бартер оружие'!D157</f>
        <v>Мастер</v>
      </c>
      <c r="O24" s="41" t="str">
        <f>'Бартер оружие'!E157</f>
        <v>Ближний бой</v>
      </c>
      <c r="P24" s="41" t="str">
        <f t="shared" si="1"/>
        <v>Оружие</v>
      </c>
      <c r="Q24" s="42">
        <f>IF(ISNUMBER('Бартер оружие'!G162), 'Бартер оружие'!G162, "")</f>
        <v>930000</v>
      </c>
      <c r="R24" s="43">
        <v>1</v>
      </c>
      <c r="S24" s="41"/>
      <c r="T24" s="41" t="s">
        <v>470</v>
      </c>
      <c r="U24" s="44">
        <f t="shared" si="0"/>
        <v>1</v>
      </c>
      <c r="V24" s="44">
        <f>IF(U24=1,SUM($U$2:U24),"")</f>
        <v>23</v>
      </c>
    </row>
    <row r="25" spans="2:22">
      <c r="B25" s="47">
        <f>IFERROR(IF(MATCH(21,$V$2:$V$362,0)&gt;0,21,""),"")</f>
        <v>21</v>
      </c>
      <c r="C25" s="4" t="str">
        <f>IFERROR(INDEX($L$2:$Q$362,MATCH(21,$V$2:$V$362,0),2),"")</f>
        <v>ТОЗ-84</v>
      </c>
      <c r="D25" s="48" t="str">
        <f>IFERROR(INDEX($L$2:$Q$362,MATCH(21,$V$2:$V$362,0),3),"")</f>
        <v>Мастер</v>
      </c>
      <c r="E25" s="47" t="str">
        <f>IFERROR(INDEX($L$2:$Q$362,MATCH(21,$V$2:$V$362,0),4),"")</f>
        <v>Дробовики и ружья</v>
      </c>
      <c r="I25" s="46"/>
      <c r="L25" s="41">
        <f>'Бартер оружие'!A164</f>
        <v>24</v>
      </c>
      <c r="M25" s="41" t="str">
        <f>'Бартер оружие'!C164</f>
        <v>Тактическая катана</v>
      </c>
      <c r="N25" s="41" t="str">
        <f>'Бартер оружие'!D164</f>
        <v>Мастер</v>
      </c>
      <c r="O25" s="41" t="str">
        <f>'Бартер оружие'!E164</f>
        <v>Ближний бой</v>
      </c>
      <c r="P25" s="41" t="str">
        <f t="shared" si="1"/>
        <v>Оружие</v>
      </c>
      <c r="Q25" s="42">
        <f>IF(ISNUMBER('Бартер оружие'!G169), 'Бартер оружие'!G169, "")</f>
        <v>930000</v>
      </c>
      <c r="R25" s="43">
        <v>1</v>
      </c>
      <c r="S25" s="41"/>
      <c r="T25" s="41" t="s">
        <v>471</v>
      </c>
      <c r="U25" s="44">
        <f t="shared" si="0"/>
        <v>1</v>
      </c>
      <c r="V25" s="44">
        <f>IF(U25=1,SUM($U$2:U25),"")</f>
        <v>24</v>
      </c>
    </row>
    <row r="26" spans="2:22">
      <c r="B26" s="47">
        <f>IFERROR(IF(MATCH(22,$V$2:$V$362,0)&gt;0,22,""),"")</f>
        <v>22</v>
      </c>
      <c r="C26" s="4" t="str">
        <f>IFERROR(INDEX($L$2:$Q$362,MATCH(22,$V$2:$V$362,0),2),"")</f>
        <v>АШ-12</v>
      </c>
      <c r="D26" s="48" t="str">
        <f>IFERROR(INDEX($L$2:$Q$362,MATCH(22,$V$2:$V$362,0),3),"")</f>
        <v>Мастер</v>
      </c>
      <c r="E26" s="47" t="str">
        <f>IFERROR(INDEX($L$2:$Q$362,MATCH(22,$V$2:$V$362,0),4),"")</f>
        <v>Автоматы</v>
      </c>
      <c r="I26" s="46"/>
      <c r="L26" s="41">
        <f>'Бартер оружие'!A171</f>
        <v>25</v>
      </c>
      <c r="M26" s="41" t="str">
        <f>'Бартер оружие'!C171</f>
        <v>ВССК «Выхлоп»</v>
      </c>
      <c r="N26" s="41" t="str">
        <f>'Бартер оружие'!D171</f>
        <v>Мастер</v>
      </c>
      <c r="O26" s="41" t="str">
        <f>'Бартер оружие'!E171</f>
        <v>Снайперские винтовки</v>
      </c>
      <c r="P26" s="41" t="str">
        <f t="shared" si="1"/>
        <v>Оружие</v>
      </c>
      <c r="Q26" s="42">
        <f>IF(ISNUMBER('Бартер оружие'!G176), 'Бартер оружие'!G176, "")</f>
        <v>1920000</v>
      </c>
      <c r="R26" s="43">
        <v>1</v>
      </c>
      <c r="S26" s="41" t="s">
        <v>112</v>
      </c>
      <c r="T26" s="41" t="s">
        <v>472</v>
      </c>
      <c r="U26" s="44">
        <f t="shared" si="0"/>
        <v>1</v>
      </c>
      <c r="V26" s="44">
        <f>IF(U26=1,SUM($U$2:U26),"")</f>
        <v>25</v>
      </c>
    </row>
    <row r="27" spans="2:22">
      <c r="B27" s="47">
        <f>IFERROR(IF(MATCH(23,$V$2:$V$362,0)&gt;0,23,""),"")</f>
        <v>23</v>
      </c>
      <c r="C27" s="4" t="str">
        <f>IFERROR(INDEX($L$2:$Q$362,MATCH(23,$V$2:$V$362,0),2),"")</f>
        <v>Антитеррор</v>
      </c>
      <c r="D27" s="48" t="str">
        <f>IFERROR(INDEX($L$2:$Q$362,MATCH(23,$V$2:$V$362,0),3),"")</f>
        <v>Мастер</v>
      </c>
      <c r="E27" s="47" t="str">
        <f>IFERROR(INDEX($L$2:$Q$362,MATCH(23,$V$2:$V$362,0),4),"")</f>
        <v>Ближний бой</v>
      </c>
      <c r="I27" s="46"/>
      <c r="L27" s="41">
        <f>'Бартер оружие'!A178</f>
        <v>26</v>
      </c>
      <c r="M27" s="41" t="str">
        <f>'Бартер оружие'!C178</f>
        <v>Кукри</v>
      </c>
      <c r="N27" s="41" t="str">
        <f>'Бартер оружие'!D178</f>
        <v>Мастер</v>
      </c>
      <c r="O27" s="41" t="str">
        <f>'Бартер оружие'!E178</f>
        <v>Ближний бой</v>
      </c>
      <c r="P27" s="41" t="str">
        <f t="shared" si="1"/>
        <v>Оружие</v>
      </c>
      <c r="Q27" s="42">
        <f>IF(ISNUMBER('Бартер оружие'!G183), 'Бартер оружие'!G183, "")</f>
        <v>504000</v>
      </c>
      <c r="R27" s="43">
        <v>1</v>
      </c>
      <c r="S27" s="41" t="s">
        <v>114</v>
      </c>
      <c r="T27" s="41" t="s">
        <v>473</v>
      </c>
      <c r="U27" s="44">
        <f t="shared" si="0"/>
        <v>1</v>
      </c>
      <c r="V27" s="44">
        <f>IF(U27=1,SUM($U$2:U27),"")</f>
        <v>26</v>
      </c>
    </row>
    <row r="28" spans="2:22">
      <c r="B28" s="47">
        <f>IFERROR(IF(MATCH(24,$V$2:$V$362,0)&gt;0,24,""),"")</f>
        <v>24</v>
      </c>
      <c r="C28" s="4" t="str">
        <f>IFERROR(INDEX($L$2:$Q$362,MATCH(24,$V$2:$V$362,0),2),"")</f>
        <v>Тактическая катана</v>
      </c>
      <c r="D28" s="48" t="str">
        <f>IFERROR(INDEX($L$2:$Q$362,MATCH(24,$V$2:$V$362,0),3),"")</f>
        <v>Мастер</v>
      </c>
      <c r="E28" s="47" t="str">
        <f>IFERROR(INDEX($L$2:$Q$362,MATCH(24,$V$2:$V$362,0),4),"")</f>
        <v>Ближний бой</v>
      </c>
      <c r="I28" s="46"/>
      <c r="L28" s="41">
        <f>'Бартер оружие'!A185</f>
        <v>27</v>
      </c>
      <c r="M28" s="41" t="str">
        <f>'Бартер оружие'!C185</f>
        <v>РШ-12</v>
      </c>
      <c r="N28" s="41" t="str">
        <f>'Бартер оружие'!D185</f>
        <v>Мастер</v>
      </c>
      <c r="O28" s="41" t="str">
        <f>'Бартер оружие'!E185</f>
        <v>Пистолеты</v>
      </c>
      <c r="P28" s="41" t="str">
        <f t="shared" si="1"/>
        <v>Оружие</v>
      </c>
      <c r="Q28" s="42">
        <f>IF(ISNUMBER('Бартер оружие'!G190), 'Бартер оружие'!G190, "")</f>
        <v>1370000</v>
      </c>
      <c r="R28" s="43">
        <v>1</v>
      </c>
      <c r="S28" s="41" t="s">
        <v>116</v>
      </c>
      <c r="T28" s="41" t="s">
        <v>474</v>
      </c>
      <c r="U28" s="44">
        <f t="shared" si="0"/>
        <v>1</v>
      </c>
      <c r="V28" s="44">
        <f>IF(U28=1,SUM($U$2:U28),"")</f>
        <v>27</v>
      </c>
    </row>
    <row r="29" spans="2:22">
      <c r="B29" s="47">
        <f>IFERROR(IF(MATCH(25,$V$2:$V$362,0)&gt;0,25,""),"")</f>
        <v>25</v>
      </c>
      <c r="C29" s="4" t="str">
        <f>IFERROR(INDEX($L$2:$Q$362,MATCH(25,$V$2:$V$362,0),2),"")</f>
        <v>ВССК «Выхлоп»</v>
      </c>
      <c r="D29" s="48" t="str">
        <f>IFERROR(INDEX($L$2:$Q$362,MATCH(25,$V$2:$V$362,0),3),"")</f>
        <v>Мастер</v>
      </c>
      <c r="E29" s="47" t="str">
        <f>IFERROR(INDEX($L$2:$Q$362,MATCH(25,$V$2:$V$362,0),4),"")</f>
        <v>Снайперские винтовки</v>
      </c>
      <c r="I29" s="46"/>
      <c r="L29" s="41">
        <f>'Бартер оружие'!A192</f>
        <v>28</v>
      </c>
      <c r="M29" s="41" t="str">
        <f>'Бартер оружие'!C192</f>
        <v>FN F2000</v>
      </c>
      <c r="N29" s="41" t="str">
        <f>'Бартер оружие'!D192</f>
        <v>Ветеран</v>
      </c>
      <c r="O29" s="41" t="str">
        <f>'Бартер оружие'!E192</f>
        <v>Автоматы</v>
      </c>
      <c r="P29" s="41" t="str">
        <f t="shared" si="1"/>
        <v>Оружие</v>
      </c>
      <c r="Q29" s="42">
        <f>IF(ISNUMBER('Бартер оружие'!G197), 'Бартер оружие'!G197, "")</f>
        <v>1100000</v>
      </c>
      <c r="R29" s="43">
        <v>2</v>
      </c>
      <c r="S29" s="41" t="s">
        <v>118</v>
      </c>
      <c r="T29" s="41" t="s">
        <v>475</v>
      </c>
      <c r="U29" s="44">
        <f t="shared" si="0"/>
        <v>1</v>
      </c>
      <c r="V29" s="44">
        <f>IF(U29=1,SUM($U$2:U29),"")</f>
        <v>28</v>
      </c>
    </row>
    <row r="30" spans="2:22">
      <c r="B30" s="47">
        <f>IFERROR(IF(MATCH(26,$V$2:$V$362,0)&gt;0,26,""),"")</f>
        <v>26</v>
      </c>
      <c r="C30" s="4" t="str">
        <f>IFERROR(INDEX($L$2:$Q$362,MATCH(26,$V$2:$V$362,0),2),"")</f>
        <v>Кукри</v>
      </c>
      <c r="D30" s="48" t="str">
        <f>IFERROR(INDEX($L$2:$Q$362,MATCH(26,$V$2:$V$362,0),3),"")</f>
        <v>Мастер</v>
      </c>
      <c r="E30" s="47" t="str">
        <f>IFERROR(INDEX($L$2:$Q$362,MATCH(26,$V$2:$V$362,0),4),"")</f>
        <v>Ближний бой</v>
      </c>
      <c r="I30" s="46"/>
      <c r="L30" s="41">
        <f>'Бартер оружие'!A199</f>
        <v>29</v>
      </c>
      <c r="M30" s="41" t="str">
        <f>'Бартер оружие'!C199</f>
        <v>HK G36C</v>
      </c>
      <c r="N30" s="41" t="str">
        <f>'Бартер оружие'!D199</f>
        <v>Ветеран</v>
      </c>
      <c r="O30" s="41" t="str">
        <f>'Бартер оружие'!E199</f>
        <v>Автоматы</v>
      </c>
      <c r="P30" s="41" t="str">
        <f t="shared" si="1"/>
        <v>Оружие</v>
      </c>
      <c r="Q30" s="42">
        <f>IF(ISNUMBER('Бартер оружие'!G204), 'Бартер оружие'!G204, "")</f>
        <v>1100000</v>
      </c>
      <c r="R30" s="43">
        <v>4</v>
      </c>
      <c r="S30" s="41" t="s">
        <v>476</v>
      </c>
      <c r="T30" s="41" t="s">
        <v>477</v>
      </c>
      <c r="U30" s="44">
        <f t="shared" si="0"/>
        <v>1</v>
      </c>
      <c r="V30" s="44">
        <f>IF(U30=1,SUM($U$2:U30),"")</f>
        <v>29</v>
      </c>
    </row>
    <row r="31" spans="2:22">
      <c r="B31" s="47">
        <f>IFERROR(IF(MATCH(27,$V$2:$V$362,0)&gt;0,27,""),"")</f>
        <v>27</v>
      </c>
      <c r="C31" s="4" t="str">
        <f>IFERROR(INDEX($L$2:$Q$362,MATCH(27,$V$2:$V$362,0),2),"")</f>
        <v>РШ-12</v>
      </c>
      <c r="D31" s="48" t="str">
        <f>IFERROR(INDEX($L$2:$Q$362,MATCH(27,$V$2:$V$362,0),3),"")</f>
        <v>Мастер</v>
      </c>
      <c r="E31" s="47" t="str">
        <f>IFERROR(INDEX($L$2:$Q$362,MATCH(27,$V$2:$V$362,0),4),"")</f>
        <v>Пистолеты</v>
      </c>
      <c r="I31" s="46"/>
      <c r="L31" s="41">
        <f>'Бартер оружие'!A206</f>
        <v>30</v>
      </c>
      <c r="M31" s="41" t="str">
        <f>'Бартер оружие'!C206</f>
        <v>HK G3A1</v>
      </c>
      <c r="N31" s="41" t="str">
        <f>'Бартер оружие'!D206</f>
        <v>Ветеран</v>
      </c>
      <c r="O31" s="41" t="str">
        <f>'Бартер оружие'!E206</f>
        <v>Автоматы</v>
      </c>
      <c r="P31" s="41" t="str">
        <f t="shared" si="1"/>
        <v>Оружие</v>
      </c>
      <c r="Q31" s="42">
        <f>IF(ISNUMBER('Бартер оружие'!G211), 'Бартер оружие'!G211, "")</f>
        <v>1100000</v>
      </c>
      <c r="R31" s="43">
        <v>2</v>
      </c>
      <c r="S31" s="41" t="s">
        <v>121</v>
      </c>
      <c r="T31" s="41" t="s">
        <v>478</v>
      </c>
      <c r="U31" s="44">
        <f t="shared" si="0"/>
        <v>1</v>
      </c>
      <c r="V31" s="44">
        <f>IF(U31=1,SUM($U$2:U31),"")</f>
        <v>30</v>
      </c>
    </row>
    <row r="32" spans="2:22">
      <c r="B32" s="47">
        <f>IFERROR(IF(MATCH(28,$V$2:$V$362,0)&gt;0,28,""),"")</f>
        <v>28</v>
      </c>
      <c r="C32" s="5" t="str">
        <f>IFERROR(INDEX($L$2:$Q$362,MATCH(28,$V$2:$V$362,0),2),"")</f>
        <v>FN F2000</v>
      </c>
      <c r="D32" s="49" t="str">
        <f>IFERROR(INDEX($L$2:$Q$362,MATCH(28,$V$2:$V$362,0),3),"")</f>
        <v>Ветеран</v>
      </c>
      <c r="E32" s="47" t="str">
        <f>IFERROR(INDEX($L$2:$Q$362,MATCH(28,$V$2:$V$362,0),4),"")</f>
        <v>Автоматы</v>
      </c>
      <c r="I32" s="46"/>
      <c r="L32" s="41">
        <f>'Бартер оружие'!A213</f>
        <v>31</v>
      </c>
      <c r="M32" s="41" t="str">
        <f>'Бартер оружие'!C213</f>
        <v>АЕК-971</v>
      </c>
      <c r="N32" s="41" t="str">
        <f>'Бартер оружие'!D213</f>
        <v>Ветеран</v>
      </c>
      <c r="O32" s="41" t="str">
        <f>'Бартер оружие'!E213</f>
        <v>Автоматы</v>
      </c>
      <c r="P32" s="41" t="str">
        <f t="shared" si="1"/>
        <v>Оружие</v>
      </c>
      <c r="Q32" s="42">
        <f>IF(ISNUMBER('Бартер оружие'!G218), 'Бартер оружие'!G218, "")</f>
        <v>1070000</v>
      </c>
      <c r="R32" s="43">
        <v>2</v>
      </c>
      <c r="S32" s="41" t="s">
        <v>122</v>
      </c>
      <c r="T32" s="41" t="s">
        <v>479</v>
      </c>
      <c r="U32" s="44">
        <f t="shared" si="0"/>
        <v>1</v>
      </c>
      <c r="V32" s="44">
        <f>IF(U32=1,SUM($U$2:U32),"")</f>
        <v>31</v>
      </c>
    </row>
    <row r="33" spans="2:22">
      <c r="B33" s="47">
        <f>IFERROR(IF(MATCH(29,$V$2:$V$362,0)&gt;0,29,""),"")</f>
        <v>29</v>
      </c>
      <c r="C33" s="5" t="str">
        <f>IFERROR(INDEX($L$2:$Q$362,MATCH(29,$V$2:$V$362,0),2),"")</f>
        <v>HK G36C</v>
      </c>
      <c r="D33" s="49" t="str">
        <f>IFERROR(INDEX($L$2:$Q$362,MATCH(29,$V$2:$V$362,0),3),"")</f>
        <v>Ветеран</v>
      </c>
      <c r="E33" s="47" t="str">
        <f>IFERROR(INDEX($L$2:$Q$362,MATCH(29,$V$2:$V$362,0),4),"")</f>
        <v>Автоматы</v>
      </c>
      <c r="I33" s="46"/>
      <c r="L33" s="41">
        <f>'Бартер оружие'!A220</f>
        <v>32</v>
      </c>
      <c r="M33" s="41" t="str">
        <f>'Бартер оружие'!C220</f>
        <v>АК-203</v>
      </c>
      <c r="N33" s="41" t="str">
        <f>'Бартер оружие'!D220</f>
        <v>Ветеран</v>
      </c>
      <c r="O33" s="41" t="str">
        <f>'Бартер оружие'!E220</f>
        <v>Автоматы</v>
      </c>
      <c r="P33" s="41" t="str">
        <f t="shared" si="1"/>
        <v>Оружие</v>
      </c>
      <c r="Q33" s="42">
        <f>IF(ISNUMBER('Бартер оружие'!G225), 'Бартер оружие'!G225, "")</f>
        <v>1070000</v>
      </c>
      <c r="R33" s="43">
        <v>2</v>
      </c>
      <c r="S33" s="41" t="s">
        <v>123</v>
      </c>
      <c r="T33" s="41" t="s">
        <v>480</v>
      </c>
      <c r="U33" s="44">
        <f t="shared" si="0"/>
        <v>1</v>
      </c>
      <c r="V33" s="44">
        <f>IF(U33=1,SUM($U$2:U33),"")</f>
        <v>32</v>
      </c>
    </row>
    <row r="34" spans="2:22">
      <c r="B34" s="47">
        <f>IFERROR(IF(MATCH(30,$V$2:$V$362,0)&gt;0,30,""),"")</f>
        <v>30</v>
      </c>
      <c r="C34" s="5" t="str">
        <f>IFERROR(INDEX($L$2:$Q$362,MATCH(30,$V$2:$V$362,0),2),"")</f>
        <v>HK G3A1</v>
      </c>
      <c r="D34" s="49" t="str">
        <f>IFERROR(INDEX($L$2:$Q$362,MATCH(30,$V$2:$V$362,0),3),"")</f>
        <v>Ветеран</v>
      </c>
      <c r="E34" s="47" t="str">
        <f>IFERROR(INDEX($L$2:$Q$362,MATCH(30,$V$2:$V$362,0),4),"")</f>
        <v>Автоматы</v>
      </c>
      <c r="I34" s="46"/>
      <c r="L34" s="41">
        <f>'Бартер оружие'!A227</f>
        <v>33</v>
      </c>
      <c r="M34" s="41" t="str">
        <f>'Бартер оружие'!C227</f>
        <v>АС «Вал»</v>
      </c>
      <c r="N34" s="41" t="str">
        <f>'Бартер оружие'!D227</f>
        <v>Ветеран</v>
      </c>
      <c r="O34" s="41" t="str">
        <f>'Бартер оружие'!E227</f>
        <v>Автоматы</v>
      </c>
      <c r="P34" s="41" t="str">
        <f t="shared" si="1"/>
        <v>Оружие</v>
      </c>
      <c r="Q34" s="42">
        <f>IF(ISNUMBER('Бартер оружие'!G232), 'Бартер оружие'!G232, "")</f>
        <v>1070000</v>
      </c>
      <c r="R34" s="43">
        <v>2</v>
      </c>
      <c r="S34" s="41" t="s">
        <v>124</v>
      </c>
      <c r="T34" s="41" t="s">
        <v>481</v>
      </c>
      <c r="U34" s="44">
        <f t="shared" si="0"/>
        <v>1</v>
      </c>
      <c r="V34" s="44">
        <f>IF(U34=1,SUM($U$2:U34),"")</f>
        <v>33</v>
      </c>
    </row>
    <row r="35" spans="2:22">
      <c r="B35" s="47">
        <f>IFERROR(IF(MATCH(31,$V$2:$V$362,0)&gt;0,31,""),"")</f>
        <v>31</v>
      </c>
      <c r="C35" s="5" t="str">
        <f>IFERROR(INDEX($L$2:$Q$362,MATCH(31,$V$2:$V$362,0),2),"")</f>
        <v>АЕК-971</v>
      </c>
      <c r="D35" s="49" t="str">
        <f>IFERROR(INDEX($L$2:$Q$362,MATCH(31,$V$2:$V$362,0),3),"")</f>
        <v>Ветеран</v>
      </c>
      <c r="E35" s="47" t="str">
        <f>IFERROR(INDEX($L$2:$Q$362,MATCH(31,$V$2:$V$362,0),4),"")</f>
        <v>Автоматы</v>
      </c>
      <c r="I35" s="46"/>
      <c r="L35" s="41">
        <f>'Бартер оружие'!A234</f>
        <v>34</v>
      </c>
      <c r="M35" s="41" t="str">
        <f>'Бартер оружие'!C234</f>
        <v>SIG 516</v>
      </c>
      <c r="N35" s="41" t="str">
        <f>'Бартер оружие'!D234</f>
        <v>Ветеран</v>
      </c>
      <c r="O35" s="41" t="str">
        <f>'Бартер оружие'!E234</f>
        <v>Автоматы</v>
      </c>
      <c r="P35" s="41" t="str">
        <f t="shared" si="1"/>
        <v>Оружие</v>
      </c>
      <c r="Q35" s="42">
        <f>IF(ISNUMBER('Бартер оружие'!G239), 'Бартер оружие'!G239, "")</f>
        <v>1070000</v>
      </c>
      <c r="R35" s="43">
        <v>2</v>
      </c>
      <c r="S35" s="41" t="s">
        <v>125</v>
      </c>
      <c r="T35" s="41" t="s">
        <v>482</v>
      </c>
      <c r="U35" s="44">
        <f t="shared" si="0"/>
        <v>1</v>
      </c>
      <c r="V35" s="44">
        <f>IF(U35=1,SUM($U$2:U35),"")</f>
        <v>34</v>
      </c>
    </row>
    <row r="36" spans="2:22">
      <c r="B36" s="47">
        <f>IFERROR(IF(MATCH(32,$V$2:$V$362,0)&gt;0,32,""),"")</f>
        <v>32</v>
      </c>
      <c r="C36" s="5" t="str">
        <f>IFERROR(INDEX($L$2:$Q$362,MATCH(32,$V$2:$V$362,0),2),"")</f>
        <v>АК-203</v>
      </c>
      <c r="D36" s="49" t="str">
        <f>IFERROR(INDEX($L$2:$Q$362,MATCH(32,$V$2:$V$362,0),3),"")</f>
        <v>Ветеран</v>
      </c>
      <c r="E36" s="47" t="str">
        <f>IFERROR(INDEX($L$2:$Q$362,MATCH(32,$V$2:$V$362,0),4),"")</f>
        <v>Автоматы</v>
      </c>
      <c r="I36" s="46"/>
      <c r="L36" s="41">
        <f>'Бартер оружие'!A241</f>
        <v>35</v>
      </c>
      <c r="M36" s="41" t="str">
        <f>'Бартер оружие'!C241</f>
        <v>K2</v>
      </c>
      <c r="N36" s="41" t="str">
        <f>'Бартер оружие'!D241</f>
        <v>Ветеран</v>
      </c>
      <c r="O36" s="41" t="str">
        <f>'Бартер оружие'!E241</f>
        <v>Автоматы</v>
      </c>
      <c r="P36" s="41" t="str">
        <f t="shared" si="1"/>
        <v>Оружие</v>
      </c>
      <c r="Q36" s="42">
        <f>IF(ISNUMBER('Бартер оружие'!G246), 'Бартер оружие'!G246, "")</f>
        <v>941000</v>
      </c>
      <c r="R36" s="43">
        <v>4</v>
      </c>
      <c r="S36" s="41" t="s">
        <v>126</v>
      </c>
      <c r="T36" s="41" t="s">
        <v>483</v>
      </c>
      <c r="U36" s="44">
        <f t="shared" si="0"/>
        <v>1</v>
      </c>
      <c r="V36" s="44">
        <f>IF(U36=1,SUM($U$2:U36),"")</f>
        <v>35</v>
      </c>
    </row>
    <row r="37" spans="2:22">
      <c r="B37" s="47">
        <f>IFERROR(IF(MATCH(33,$V$2:$V$362,0)&gt;0,33,""),"")</f>
        <v>33</v>
      </c>
      <c r="C37" s="5" t="str">
        <f>IFERROR(INDEX($L$2:$Q$362,MATCH(33,$V$2:$V$362,0),2),"")</f>
        <v>АС «Вал»</v>
      </c>
      <c r="D37" s="49" t="str">
        <f>IFERROR(INDEX($L$2:$Q$362,MATCH(33,$V$2:$V$362,0),3),"")</f>
        <v>Ветеран</v>
      </c>
      <c r="E37" s="47" t="str">
        <f>IFERROR(INDEX($L$2:$Q$362,MATCH(33,$V$2:$V$362,0),4),"")</f>
        <v>Автоматы</v>
      </c>
      <c r="I37" s="46"/>
      <c r="L37" s="41">
        <f>'Бартер оружие'!A248</f>
        <v>36</v>
      </c>
      <c r="M37" s="41" t="str">
        <f>'Бартер оружие'!C248</f>
        <v>ВСС «Винторез»</v>
      </c>
      <c r="N37" s="41" t="str">
        <f>'Бартер оружие'!D248</f>
        <v>Ветеран</v>
      </c>
      <c r="O37" s="41" t="str">
        <f>'Бартер оружие'!E248</f>
        <v>Снайперские винтовки</v>
      </c>
      <c r="P37" s="41" t="str">
        <f t="shared" si="1"/>
        <v>Оружие</v>
      </c>
      <c r="Q37" s="42">
        <f>IF(ISNUMBER('Бартер оружие'!G253), 'Бартер оружие'!G253, "")</f>
        <v>1031000</v>
      </c>
      <c r="R37" s="43">
        <v>2</v>
      </c>
      <c r="S37" s="41" t="s">
        <v>124</v>
      </c>
      <c r="T37" s="41" t="s">
        <v>484</v>
      </c>
      <c r="U37" s="44">
        <f t="shared" si="0"/>
        <v>1</v>
      </c>
      <c r="V37" s="44">
        <f>IF(U37=1,SUM($U$2:U37),"")</f>
        <v>36</v>
      </c>
    </row>
    <row r="38" spans="2:22">
      <c r="B38" s="47">
        <f>IFERROR(IF(MATCH(34,$V$2:$V$362,0)&gt;0,34,""),"")</f>
        <v>34</v>
      </c>
      <c r="C38" s="5" t="str">
        <f>IFERROR(INDEX($L$2:$Q$362,MATCH(34,$V$2:$V$362,0),2),"")</f>
        <v>SIG 516</v>
      </c>
      <c r="D38" s="49" t="str">
        <f>IFERROR(INDEX($L$2:$Q$362,MATCH(34,$V$2:$V$362,0),3),"")</f>
        <v>Ветеран</v>
      </c>
      <c r="E38" s="47" t="str">
        <f>IFERROR(INDEX($L$2:$Q$362,MATCH(34,$V$2:$V$362,0),4),"")</f>
        <v>Автоматы</v>
      </c>
      <c r="I38" s="46"/>
      <c r="L38" s="41">
        <f>'Бартер оружие'!A255</f>
        <v>37</v>
      </c>
      <c r="M38" s="41" t="str">
        <f>'Бартер оружие'!C255</f>
        <v>СВД-С</v>
      </c>
      <c r="N38" s="41" t="str">
        <f>'Бартер оружие'!D255</f>
        <v>Ветеран</v>
      </c>
      <c r="O38" s="41" t="str">
        <f>'Бартер оружие'!E255</f>
        <v>Снайперские винтовки</v>
      </c>
      <c r="P38" s="41" t="str">
        <f t="shared" ref="P38:P69" si="2">"Оружие"</f>
        <v>Оружие</v>
      </c>
      <c r="Q38" s="42">
        <f>IF(ISNUMBER('Бартер оружие'!G260), 'Бартер оружие'!G260, "")</f>
        <v>924000</v>
      </c>
      <c r="R38" s="43">
        <v>2</v>
      </c>
      <c r="S38" s="41" t="s">
        <v>127</v>
      </c>
      <c r="T38" s="41" t="s">
        <v>485</v>
      </c>
      <c r="U38" s="44">
        <f t="shared" si="0"/>
        <v>1</v>
      </c>
      <c r="V38" s="44">
        <f>IF(U38=1,SUM($U$2:U38),"")</f>
        <v>37</v>
      </c>
    </row>
    <row r="39" spans="2:22">
      <c r="B39" s="47">
        <f>IFERROR(IF(MATCH(35,$V$2:$V$362,0)&gt;0,35,""),"")</f>
        <v>35</v>
      </c>
      <c r="C39" s="5" t="str">
        <f>IFERROR(INDEX($L$2:$Q$362,MATCH(35,$V$2:$V$362,0),2),"")</f>
        <v>K2</v>
      </c>
      <c r="D39" s="49" t="str">
        <f>IFERROR(INDEX($L$2:$Q$362,MATCH(35,$V$2:$V$362,0),3),"")</f>
        <v>Ветеран</v>
      </c>
      <c r="E39" s="47" t="str">
        <f>IFERROR(INDEX($L$2:$Q$362,MATCH(35,$V$2:$V$362,0),4),"")</f>
        <v>Автоматы</v>
      </c>
      <c r="I39" s="46"/>
      <c r="L39" s="41">
        <f>'Бартер оружие'!A262</f>
        <v>38</v>
      </c>
      <c r="M39" s="41" t="str">
        <f>'Бартер оружие'!C262</f>
        <v>СВУ</v>
      </c>
      <c r="N39" s="41" t="str">
        <f>'Бартер оружие'!D262</f>
        <v>Ветеран</v>
      </c>
      <c r="O39" s="41" t="str">
        <f>'Бартер оружие'!E262</f>
        <v>Снайперские винтовки</v>
      </c>
      <c r="P39" s="41" t="str">
        <f t="shared" si="2"/>
        <v>Оружие</v>
      </c>
      <c r="Q39" s="42">
        <f>IF(ISNUMBER('Бартер оружие'!G267), 'Бартер оружие'!G267, "")</f>
        <v>924000</v>
      </c>
      <c r="R39" s="43">
        <v>2</v>
      </c>
      <c r="S39" s="41" t="s">
        <v>127</v>
      </c>
      <c r="T39" s="41" t="s">
        <v>486</v>
      </c>
      <c r="U39" s="44">
        <f t="shared" si="0"/>
        <v>1</v>
      </c>
      <c r="V39" s="44">
        <f>IF(U39=1,SUM($U$2:U39),"")</f>
        <v>38</v>
      </c>
    </row>
    <row r="40" spans="2:22">
      <c r="B40" s="47">
        <f>IFERROR(IF(MATCH(36,$V$2:$V$362,0)&gt;0,36,""),"")</f>
        <v>36</v>
      </c>
      <c r="C40" s="5" t="str">
        <f>IFERROR(INDEX($L$2:$Q$362,MATCH(36,$V$2:$V$362,0),2),"")</f>
        <v>ВСС «Винторез»</v>
      </c>
      <c r="D40" s="49" t="str">
        <f>IFERROR(INDEX($L$2:$Q$362,MATCH(36,$V$2:$V$362,0),3),"")</f>
        <v>Ветеран</v>
      </c>
      <c r="E40" s="47" t="str">
        <f>IFERROR(INDEX($L$2:$Q$362,MATCH(36,$V$2:$V$362,0),4),"")</f>
        <v>Снайперские винтовки</v>
      </c>
      <c r="I40" s="46"/>
      <c r="L40" s="41">
        <f>'Бартер оружие'!A269</f>
        <v>39</v>
      </c>
      <c r="M40" s="41" t="str">
        <f>'Бартер оружие'!C269</f>
        <v>M1A FA</v>
      </c>
      <c r="N40" s="41" t="str">
        <f>'Бартер оружие'!D269</f>
        <v>Ветеран</v>
      </c>
      <c r="O40" s="41" t="str">
        <f>'Бартер оружие'!E269</f>
        <v>Снайперские винтовки</v>
      </c>
      <c r="P40" s="41" t="str">
        <f t="shared" si="2"/>
        <v>Оружие</v>
      </c>
      <c r="Q40" s="42">
        <f>IF(ISNUMBER('Бартер оружие'!G274), 'Бартер оружие'!G274, "")</f>
        <v>924000</v>
      </c>
      <c r="R40" s="43">
        <v>2</v>
      </c>
      <c r="S40" s="41" t="s">
        <v>128</v>
      </c>
      <c r="T40" s="41" t="s">
        <v>487</v>
      </c>
      <c r="U40" s="44">
        <f t="shared" si="0"/>
        <v>1</v>
      </c>
      <c r="V40" s="44">
        <f>IF(U40=1,SUM($U$2:U40),"")</f>
        <v>39</v>
      </c>
    </row>
    <row r="41" spans="2:22">
      <c r="B41" s="47">
        <f>IFERROR(IF(MATCH(37,$V$2:$V$362,0)&gt;0,37,""),"")</f>
        <v>37</v>
      </c>
      <c r="C41" s="5" t="str">
        <f>IFERROR(INDEX($L$2:$Q$362,MATCH(37,$V$2:$V$362,0),2),"")</f>
        <v>СВД-С</v>
      </c>
      <c r="D41" s="49" t="str">
        <f>IFERROR(INDEX($L$2:$Q$362,MATCH(37,$V$2:$V$362,0),3),"")</f>
        <v>Ветеран</v>
      </c>
      <c r="E41" s="47" t="str">
        <f>IFERROR(INDEX($L$2:$Q$362,MATCH(37,$V$2:$V$362,0),4),"")</f>
        <v>Снайперские винтовки</v>
      </c>
      <c r="I41" s="46"/>
      <c r="L41" s="41">
        <f>'Бартер оружие'!A276</f>
        <v>40</v>
      </c>
      <c r="M41" s="41" t="str">
        <f>'Бартер оружие'!C276</f>
        <v>M40A5</v>
      </c>
      <c r="N41" s="41" t="str">
        <f>'Бартер оружие'!D276</f>
        <v>Ветеран</v>
      </c>
      <c r="O41" s="41" t="str">
        <f>'Бартер оружие'!E276</f>
        <v>Снайперские винтовки</v>
      </c>
      <c r="P41" s="41" t="str">
        <f t="shared" si="2"/>
        <v>Оружие</v>
      </c>
      <c r="Q41" s="42">
        <f>IF(ISNUMBER('Бартер оружие'!G281), 'Бартер оружие'!G281, "")</f>
        <v>924000</v>
      </c>
      <c r="R41" s="43">
        <v>2</v>
      </c>
      <c r="S41" s="41" t="s">
        <v>129</v>
      </c>
      <c r="T41" s="41" t="s">
        <v>488</v>
      </c>
      <c r="U41" s="44">
        <f t="shared" si="0"/>
        <v>1</v>
      </c>
      <c r="V41" s="44">
        <f>IF(U41=1,SUM($U$2:U41),"")</f>
        <v>40</v>
      </c>
    </row>
    <row r="42" spans="2:22">
      <c r="B42" s="47">
        <f>IFERROR(IF(MATCH(38,$V$2:$V$362,0)&gt;0,38,""),"")</f>
        <v>38</v>
      </c>
      <c r="C42" s="5" t="str">
        <f>IFERROR(INDEX($L$2:$Q$362,MATCH(38,$V$2:$V$362,0),2),"")</f>
        <v>СВУ</v>
      </c>
      <c r="D42" s="49" t="str">
        <f>IFERROR(INDEX($L$2:$Q$362,MATCH(38,$V$2:$V$362,0),3),"")</f>
        <v>Ветеран</v>
      </c>
      <c r="E42" s="47" t="str">
        <f>IFERROR(INDEX($L$2:$Q$362,MATCH(38,$V$2:$V$362,0),4),"")</f>
        <v>Снайперские винтовки</v>
      </c>
      <c r="I42" s="46"/>
      <c r="L42" s="41">
        <f>'Бартер оружие'!A283</f>
        <v>41</v>
      </c>
      <c r="M42" s="41" t="str">
        <f>'Бартер оружие'!C283</f>
        <v>Поношенный ПКП</v>
      </c>
      <c r="N42" s="41" t="str">
        <f>'Бартер оружие'!D283</f>
        <v>Ветеран</v>
      </c>
      <c r="O42" s="41" t="str">
        <f>'Бартер оружие'!E283</f>
        <v>Пулеметы</v>
      </c>
      <c r="P42" s="41" t="str">
        <f t="shared" si="2"/>
        <v>Оружие</v>
      </c>
      <c r="Q42" s="42">
        <f>IF(ISNUMBER('Бартер оружие'!G288), 'Бартер оружие'!G288, "")</f>
        <v>959000</v>
      </c>
      <c r="R42" s="43">
        <v>4</v>
      </c>
      <c r="S42" s="41" t="s">
        <v>489</v>
      </c>
      <c r="T42" s="41" t="s">
        <v>490</v>
      </c>
      <c r="U42" s="44">
        <f t="shared" si="0"/>
        <v>1</v>
      </c>
      <c r="V42" s="44">
        <f>IF(U42=1,SUM($U$2:U42),"")</f>
        <v>41</v>
      </c>
    </row>
    <row r="43" spans="2:22">
      <c r="B43" s="47">
        <f>IFERROR(IF(MATCH(39,$V$2:$V$362,0)&gt;0,39,""),"")</f>
        <v>39</v>
      </c>
      <c r="C43" s="5" t="str">
        <f>IFERROR(INDEX($L$2:$Q$362,MATCH(39,$V$2:$V$362,0),2),"")</f>
        <v>M1A FA</v>
      </c>
      <c r="D43" s="49" t="str">
        <f>IFERROR(INDEX($L$2:$Q$362,MATCH(39,$V$2:$V$362,0),3),"")</f>
        <v>Ветеран</v>
      </c>
      <c r="E43" s="47" t="str">
        <f>IFERROR(INDEX($L$2:$Q$362,MATCH(39,$V$2:$V$362,0),4),"")</f>
        <v>Снайперские винтовки</v>
      </c>
      <c r="I43" s="46"/>
      <c r="L43" s="41">
        <f>'Бартер оружие'!A290</f>
        <v>42</v>
      </c>
      <c r="M43" s="41" t="str">
        <f>'Бартер оружие'!C290</f>
        <v>Beretta Mx4 Storm</v>
      </c>
      <c r="N43" s="41" t="str">
        <f>'Бартер оружие'!D290</f>
        <v>Ветеран</v>
      </c>
      <c r="O43" s="41" t="str">
        <f>'Бартер оружие'!E290</f>
        <v>Пистолеты-пулеметы</v>
      </c>
      <c r="P43" s="41" t="str">
        <f t="shared" si="2"/>
        <v>Оружие</v>
      </c>
      <c r="Q43" s="42">
        <f>IF(ISNUMBER('Бартер оружие'!G295), 'Бартер оружие'!G295, "")</f>
        <v>941000</v>
      </c>
      <c r="R43" s="43">
        <v>2</v>
      </c>
      <c r="S43" s="41" t="s">
        <v>132</v>
      </c>
      <c r="T43" s="41" t="s">
        <v>491</v>
      </c>
      <c r="U43" s="44">
        <f t="shared" si="0"/>
        <v>1</v>
      </c>
      <c r="V43" s="44">
        <f>IF(U43=1,SUM($U$2:U43),"")</f>
        <v>42</v>
      </c>
    </row>
    <row r="44" spans="2:22">
      <c r="B44" s="47">
        <f>IFERROR(IF(MATCH(40,$V$2:$V$362,0)&gt;0,40,""),"")</f>
        <v>40</v>
      </c>
      <c r="C44" s="5" t="str">
        <f>IFERROR(INDEX($L$2:$Q$362,MATCH(40,$V$2:$V$362,0),2),"")</f>
        <v>M40A5</v>
      </c>
      <c r="D44" s="49" t="str">
        <f>IFERROR(INDEX($L$2:$Q$362,MATCH(40,$V$2:$V$362,0),3),"")</f>
        <v>Ветеран</v>
      </c>
      <c r="E44" s="47" t="str">
        <f>IFERROR(INDEX($L$2:$Q$362,MATCH(40,$V$2:$V$362,0),4),"")</f>
        <v>Снайперские винтовки</v>
      </c>
      <c r="I44" s="46"/>
      <c r="L44" s="41">
        <f>'Бартер оружие'!A297</f>
        <v>43</v>
      </c>
      <c r="M44" s="41" t="str">
        <f>'Бартер оружие'!C297</f>
        <v>FN P90</v>
      </c>
      <c r="N44" s="41" t="str">
        <f>'Бартер оружие'!D297</f>
        <v>Ветеран</v>
      </c>
      <c r="O44" s="41" t="str">
        <f>'Бартер оружие'!E297</f>
        <v>Пистолеты-пулеметы</v>
      </c>
      <c r="P44" s="41" t="str">
        <f t="shared" si="2"/>
        <v>Оружие</v>
      </c>
      <c r="Q44" s="42">
        <f>IF(ISNUMBER('Бартер оружие'!G302), 'Бартер оружие'!G302, "")</f>
        <v>941000</v>
      </c>
      <c r="R44" s="43">
        <v>2</v>
      </c>
      <c r="S44" s="41" t="s">
        <v>133</v>
      </c>
      <c r="T44" s="41" t="s">
        <v>492</v>
      </c>
      <c r="U44" s="44">
        <f t="shared" si="0"/>
        <v>1</v>
      </c>
      <c r="V44" s="44">
        <f>IF(U44=1,SUM($U$2:U44),"")</f>
        <v>43</v>
      </c>
    </row>
    <row r="45" spans="2:22">
      <c r="B45" s="47">
        <f>IFERROR(IF(MATCH(41,$V$2:$V$362,0)&gt;0,41,""),"")</f>
        <v>41</v>
      </c>
      <c r="C45" s="5" t="str">
        <f>IFERROR(INDEX($L$2:$Q$362,MATCH(41,$V$2:$V$362,0),2),"")</f>
        <v>Поношенный ПКП</v>
      </c>
      <c r="D45" s="49" t="str">
        <f>IFERROR(INDEX($L$2:$Q$362,MATCH(41,$V$2:$V$362,0),3),"")</f>
        <v>Ветеран</v>
      </c>
      <c r="E45" s="47" t="str">
        <f>IFERROR(INDEX($L$2:$Q$362,MATCH(41,$V$2:$V$362,0),4),"")</f>
        <v>Пулеметы</v>
      </c>
      <c r="I45" s="46"/>
      <c r="L45" s="41">
        <f>'Бартер оружие'!A304</f>
        <v>44</v>
      </c>
      <c r="M45" s="41" t="str">
        <f>'Бартер оружие'!C304</f>
        <v>HK MP5</v>
      </c>
      <c r="N45" s="41" t="str">
        <f>'Бартер оружие'!D304</f>
        <v>Ветеран</v>
      </c>
      <c r="O45" s="41" t="str">
        <f>'Бартер оружие'!E304</f>
        <v>Пистолеты-пулеметы</v>
      </c>
      <c r="P45" s="41" t="str">
        <f t="shared" si="2"/>
        <v>Оружие</v>
      </c>
      <c r="Q45" s="42">
        <f>IF(ISNUMBER('Бартер оружие'!G309), 'Бартер оружие'!G309, "")</f>
        <v>941000</v>
      </c>
      <c r="R45" s="43">
        <v>2</v>
      </c>
      <c r="S45" s="41" t="s">
        <v>132</v>
      </c>
      <c r="T45" s="41" t="s">
        <v>493</v>
      </c>
      <c r="U45" s="44">
        <f t="shared" si="0"/>
        <v>1</v>
      </c>
      <c r="V45" s="44">
        <f>IF(U45=1,SUM($U$2:U45),"")</f>
        <v>44</v>
      </c>
    </row>
    <row r="46" spans="2:22">
      <c r="B46" s="47">
        <f>IFERROR(IF(MATCH(42,$V$2:$V$362,0)&gt;0,42,""),"")</f>
        <v>42</v>
      </c>
      <c r="C46" s="5" t="str">
        <f>IFERROR(INDEX($L$2:$Q$362,MATCH(42,$V$2:$V$362,0),2),"")</f>
        <v>Beretta Mx4 Storm</v>
      </c>
      <c r="D46" s="49" t="str">
        <f>IFERROR(INDEX($L$2:$Q$362,MATCH(42,$V$2:$V$362,0),3),"")</f>
        <v>Ветеран</v>
      </c>
      <c r="E46" s="47" t="str">
        <f>IFERROR(INDEX($L$2:$Q$362,MATCH(42,$V$2:$V$362,0),4),"")</f>
        <v>Пистолеты-пулеметы</v>
      </c>
      <c r="I46" s="46"/>
      <c r="L46" s="41">
        <f>'Бартер оружие'!A311</f>
        <v>45</v>
      </c>
      <c r="M46" s="41" t="str">
        <f>'Бартер оружие'!C311</f>
        <v>«Витязь-СН»</v>
      </c>
      <c r="N46" s="41" t="str">
        <f>'Бартер оружие'!D311</f>
        <v>Ветеран</v>
      </c>
      <c r="O46" s="41" t="str">
        <f>'Бартер оружие'!E311</f>
        <v>Пистолеты-пулеметы</v>
      </c>
      <c r="P46" s="41" t="str">
        <f t="shared" si="2"/>
        <v>Оружие</v>
      </c>
      <c r="Q46" s="42">
        <f>IF(ISNUMBER('Бартер оружие'!G316), 'Бартер оружие'!G316, "")</f>
        <v>915000</v>
      </c>
      <c r="R46" s="43">
        <v>2</v>
      </c>
      <c r="S46" s="41" t="s">
        <v>134</v>
      </c>
      <c r="T46" s="41" t="s">
        <v>494</v>
      </c>
      <c r="U46" s="44">
        <f t="shared" si="0"/>
        <v>1</v>
      </c>
      <c r="V46" s="44">
        <f>IF(U46=1,SUM($U$2:U46),"")</f>
        <v>45</v>
      </c>
    </row>
    <row r="47" spans="2:22">
      <c r="B47" s="47">
        <f>IFERROR(IF(MATCH(43,$V$2:$V$362,0)&gt;0,43,""),"")</f>
        <v>43</v>
      </c>
      <c r="C47" s="5" t="str">
        <f>IFERROR(INDEX($L$2:$Q$362,MATCH(43,$V$2:$V$362,0),2),"")</f>
        <v>FN P90</v>
      </c>
      <c r="D47" s="49" t="str">
        <f>IFERROR(INDEX($L$2:$Q$362,MATCH(43,$V$2:$V$362,0),3),"")</f>
        <v>Ветеран</v>
      </c>
      <c r="E47" s="47" t="str">
        <f>IFERROR(INDEX($L$2:$Q$362,MATCH(43,$V$2:$V$362,0),4),"")</f>
        <v>Пистолеты-пулеметы</v>
      </c>
      <c r="I47" s="46"/>
      <c r="L47" s="41">
        <f>'Бартер оружие'!A318</f>
        <v>46</v>
      </c>
      <c r="M47" s="41" t="str">
        <f>'Бартер оружие'!C318</f>
        <v>СР-3 «Вихрь»</v>
      </c>
      <c r="N47" s="41" t="str">
        <f>'Бартер оружие'!D318</f>
        <v>Ветеран</v>
      </c>
      <c r="O47" s="41" t="str">
        <f>'Бартер оружие'!E318</f>
        <v>Пистолеты-пулеметы</v>
      </c>
      <c r="P47" s="41" t="str">
        <f t="shared" si="2"/>
        <v>Оружие</v>
      </c>
      <c r="Q47" s="42">
        <f>IF(ISNUMBER('Бартер оружие'!G323), 'Бартер оружие'!G323, "")</f>
        <v>915000</v>
      </c>
      <c r="R47" s="43">
        <v>2</v>
      </c>
      <c r="S47" s="41" t="s">
        <v>135</v>
      </c>
      <c r="T47" s="41" t="s">
        <v>495</v>
      </c>
      <c r="U47" s="44">
        <f t="shared" si="0"/>
        <v>1</v>
      </c>
      <c r="V47" s="44">
        <f>IF(U47=1,SUM($U$2:U47),"")</f>
        <v>46</v>
      </c>
    </row>
    <row r="48" spans="2:22">
      <c r="B48" s="47">
        <f>IFERROR(IF(MATCH(44,$V$2:$V$362,0)&gt;0,44,""),"")</f>
        <v>44</v>
      </c>
      <c r="C48" s="5" t="str">
        <f>IFERROR(INDEX($L$2:$Q$362,MATCH(44,$V$2:$V$362,0),2),"")</f>
        <v>HK MP5</v>
      </c>
      <c r="D48" s="49" t="str">
        <f>IFERROR(INDEX($L$2:$Q$362,MATCH(44,$V$2:$V$362,0),3),"")</f>
        <v>Ветеран</v>
      </c>
      <c r="E48" s="47" t="str">
        <f>IFERROR(INDEX($L$2:$Q$362,MATCH(44,$V$2:$V$362,0),4),"")</f>
        <v>Пистолеты-пулеметы</v>
      </c>
      <c r="I48" s="46"/>
      <c r="L48" s="41">
        <f>'Бартер оружие'!A325</f>
        <v>47</v>
      </c>
      <c r="M48" s="41" t="str">
        <f>'Бартер оружие'!C325</f>
        <v>Сайга-12К</v>
      </c>
      <c r="N48" s="41" t="str">
        <f>'Бартер оружие'!D325</f>
        <v>Ветеран</v>
      </c>
      <c r="O48" s="41" t="str">
        <f>'Бартер оружие'!E325</f>
        <v>Дробовики и ружья</v>
      </c>
      <c r="P48" s="41" t="str">
        <f t="shared" si="2"/>
        <v>Оружие</v>
      </c>
      <c r="Q48" s="42">
        <f>IF(ISNUMBER('Бартер оружие'!G330), 'Бартер оружие'!G330, "")</f>
        <v>414000</v>
      </c>
      <c r="R48" s="43">
        <v>2</v>
      </c>
      <c r="S48" s="41" t="s">
        <v>136</v>
      </c>
      <c r="T48" s="41" t="s">
        <v>496</v>
      </c>
      <c r="U48" s="44">
        <f t="shared" si="0"/>
        <v>1</v>
      </c>
      <c r="V48" s="44">
        <f>IF(U48=1,SUM($U$2:U48),"")</f>
        <v>47</v>
      </c>
    </row>
    <row r="49" spans="2:22">
      <c r="B49" s="47">
        <f>IFERROR(IF(MATCH(45,$V$2:$V$362,0)&gt;0,45,""),"")</f>
        <v>45</v>
      </c>
      <c r="C49" s="5" t="str">
        <f>IFERROR(INDEX($L$2:$Q$362,MATCH(45,$V$2:$V$362,0),2),"")</f>
        <v>«Витязь-СН»</v>
      </c>
      <c r="D49" s="49" t="str">
        <f>IFERROR(INDEX($L$2:$Q$362,MATCH(45,$V$2:$V$362,0),3),"")</f>
        <v>Ветеран</v>
      </c>
      <c r="E49" s="47" t="str">
        <f>IFERROR(INDEX($L$2:$Q$362,MATCH(45,$V$2:$V$362,0),4),"")</f>
        <v>Пистолеты-пулеметы</v>
      </c>
      <c r="I49" s="46"/>
      <c r="L49" s="41">
        <f>'Бартер оружие'!A332</f>
        <v>48</v>
      </c>
      <c r="M49" s="41" t="str">
        <f>'Бартер оружие'!C332</f>
        <v>Franchi SPAS-12</v>
      </c>
      <c r="N49" s="41" t="str">
        <f>'Бартер оружие'!D332</f>
        <v>Ветеран</v>
      </c>
      <c r="O49" s="41" t="str">
        <f>'Бартер оружие'!E332</f>
        <v>Дробовики и ружья</v>
      </c>
      <c r="P49" s="41" t="str">
        <f t="shared" si="2"/>
        <v>Оружие</v>
      </c>
      <c r="Q49" s="42">
        <f>IF(ISNUMBER('Бартер оружие'!G337), 'Бартер оружие'!G337, "")</f>
        <v>414000</v>
      </c>
      <c r="R49" s="43">
        <v>2</v>
      </c>
      <c r="S49" s="41" t="s">
        <v>137</v>
      </c>
      <c r="T49" s="41" t="s">
        <v>497</v>
      </c>
      <c r="U49" s="44">
        <f t="shared" si="0"/>
        <v>1</v>
      </c>
      <c r="V49" s="44">
        <f>IF(U49=1,SUM($U$2:U49),"")</f>
        <v>48</v>
      </c>
    </row>
    <row r="50" spans="2:22">
      <c r="B50" s="47">
        <f>IFERROR(IF(MATCH(46,$V$2:$V$362,0)&gt;0,46,""),"")</f>
        <v>46</v>
      </c>
      <c r="C50" s="5" t="str">
        <f>IFERROR(INDEX($L$2:$Q$362,MATCH(46,$V$2:$V$362,0),2),"")</f>
        <v>СР-3 «Вихрь»</v>
      </c>
      <c r="D50" s="49" t="str">
        <f>IFERROR(INDEX($L$2:$Q$362,MATCH(46,$V$2:$V$362,0),3),"")</f>
        <v>Ветеран</v>
      </c>
      <c r="E50" s="47" t="str">
        <f>IFERROR(INDEX($L$2:$Q$362,MATCH(46,$V$2:$V$362,0),4),"")</f>
        <v>Пистолеты-пулеметы</v>
      </c>
      <c r="I50" s="46"/>
      <c r="L50" s="41">
        <f>'Бартер оружие'!A339</f>
        <v>49</v>
      </c>
      <c r="M50" s="41" t="str">
        <f>'Бартер оружие'!C339</f>
        <v>MP-153</v>
      </c>
      <c r="N50" s="41" t="str">
        <f>'Бартер оружие'!D339</f>
        <v>Ветеран</v>
      </c>
      <c r="O50" s="41" t="str">
        <f>'Бартер оружие'!E339</f>
        <v>Дробовики и ружья</v>
      </c>
      <c r="P50" s="41" t="str">
        <f t="shared" si="2"/>
        <v>Оружие</v>
      </c>
      <c r="Q50" s="42">
        <f>IF(ISNUMBER('Бартер оружие'!G344), 'Бартер оружие'!G344, "")</f>
        <v>414000</v>
      </c>
      <c r="R50" s="43">
        <v>2</v>
      </c>
      <c r="S50" s="41" t="s">
        <v>136</v>
      </c>
      <c r="T50" s="41" t="s">
        <v>498</v>
      </c>
      <c r="U50" s="44">
        <f t="shared" si="0"/>
        <v>1</v>
      </c>
      <c r="V50" s="44">
        <f>IF(U50=1,SUM($U$2:U50),"")</f>
        <v>49</v>
      </c>
    </row>
    <row r="51" spans="2:22">
      <c r="B51" s="47">
        <f>IFERROR(IF(MATCH(47,$V$2:$V$362,0)&gt;0,47,""),"")</f>
        <v>47</v>
      </c>
      <c r="C51" s="5" t="str">
        <f>IFERROR(INDEX($L$2:$Q$362,MATCH(47,$V$2:$V$362,0),2),"")</f>
        <v>Сайга-12К</v>
      </c>
      <c r="D51" s="49" t="str">
        <f>IFERROR(INDEX($L$2:$Q$362,MATCH(47,$V$2:$V$362,0),3),"")</f>
        <v>Ветеран</v>
      </c>
      <c r="E51" s="47" t="str">
        <f>IFERROR(INDEX($L$2:$Q$362,MATCH(47,$V$2:$V$362,0),4),"")</f>
        <v>Дробовики и ружья</v>
      </c>
      <c r="I51" s="46"/>
      <c r="L51" s="41">
        <f>'Бартер оружие'!A346</f>
        <v>50</v>
      </c>
      <c r="M51" s="41" t="str">
        <f>'Бартер оружие'!C346</f>
        <v>ТОЗ-57</v>
      </c>
      <c r="N51" s="41" t="str">
        <f>'Бартер оружие'!D346</f>
        <v>Ветеран</v>
      </c>
      <c r="O51" s="41" t="str">
        <f>'Бартер оружие'!E346</f>
        <v>Дробовики и ружья</v>
      </c>
      <c r="P51" s="41" t="str">
        <f t="shared" si="2"/>
        <v>Оружие</v>
      </c>
      <c r="Q51" s="42">
        <f>IF(ISNUMBER('Бартер оружие'!G351), 'Бартер оружие'!G351, "")</f>
        <v>414000</v>
      </c>
      <c r="R51" s="43">
        <v>2</v>
      </c>
      <c r="S51" s="41" t="s">
        <v>138</v>
      </c>
      <c r="T51" s="41" t="s">
        <v>499</v>
      </c>
      <c r="U51" s="44">
        <f t="shared" si="0"/>
        <v>1</v>
      </c>
      <c r="V51" s="44">
        <f>IF(U51=1,SUM($U$2:U51),"")</f>
        <v>50</v>
      </c>
    </row>
    <row r="52" spans="2:22">
      <c r="B52" s="47">
        <f>IFERROR(IF(MATCH(48,$V$2:$V$362,0)&gt;0,48,""),"")</f>
        <v>48</v>
      </c>
      <c r="C52" s="5" t="str">
        <f>IFERROR(INDEX($L$2:$Q$362,MATCH(48,$V$2:$V$362,0),2),"")</f>
        <v>Franchi SPAS-12</v>
      </c>
      <c r="D52" s="49" t="str">
        <f>IFERROR(INDEX($L$2:$Q$362,MATCH(48,$V$2:$V$362,0),3),"")</f>
        <v>Ветеран</v>
      </c>
      <c r="E52" s="47" t="str">
        <f>IFERROR(INDEX($L$2:$Q$362,MATCH(48,$V$2:$V$362,0),4),"")</f>
        <v>Дробовики и ружья</v>
      </c>
      <c r="I52" s="46"/>
      <c r="L52" s="41">
        <f>'Бартер оружие'!A353</f>
        <v>51</v>
      </c>
      <c r="M52" s="41" t="str">
        <f>'Бартер оружие'!C353</f>
        <v>Protecta</v>
      </c>
      <c r="N52" s="41" t="str">
        <f>'Бартер оружие'!D353</f>
        <v>Ветеран</v>
      </c>
      <c r="O52" s="41" t="str">
        <f>'Бартер оружие'!E353</f>
        <v>Дробовики и ружья</v>
      </c>
      <c r="P52" s="41" t="str">
        <f t="shared" si="2"/>
        <v>Оружие</v>
      </c>
      <c r="Q52" s="42">
        <f>IF(ISNUMBER('Бартер оружие'!G358), 'Бартер оружие'!G358, "")</f>
        <v>706000</v>
      </c>
      <c r="R52" s="43">
        <v>2</v>
      </c>
      <c r="S52" s="41"/>
      <c r="T52" s="41" t="s">
        <v>500</v>
      </c>
      <c r="U52" s="44">
        <f t="shared" si="0"/>
        <v>1</v>
      </c>
      <c r="V52" s="44">
        <f>IF(U52=1,SUM($U$2:U52),"")</f>
        <v>51</v>
      </c>
    </row>
    <row r="53" spans="2:22">
      <c r="B53" s="47">
        <f>IFERROR(IF(MATCH(49,$V$2:$V$362,0)&gt;0,49,""),"")</f>
        <v>49</v>
      </c>
      <c r="C53" s="5" t="str">
        <f>IFERROR(INDEX($L$2:$Q$362,MATCH(49,$V$2:$V$362,0),2),"")</f>
        <v>MP-153</v>
      </c>
      <c r="D53" s="49" t="str">
        <f>IFERROR(INDEX($L$2:$Q$362,MATCH(49,$V$2:$V$362,0),3),"")</f>
        <v>Ветеран</v>
      </c>
      <c r="E53" s="47" t="str">
        <f>IFERROR(INDEX($L$2:$Q$362,MATCH(49,$V$2:$V$362,0),4),"")</f>
        <v>Дробовики и ружья</v>
      </c>
      <c r="I53" s="46"/>
      <c r="L53" s="41">
        <f>'Бартер оружие'!A360</f>
        <v>52</v>
      </c>
      <c r="M53" s="41" t="str">
        <f>'Бартер оружие'!C360</f>
        <v>ОЦ-14 «Гроза»</v>
      </c>
      <c r="N53" s="41" t="str">
        <f>'Бартер оружие'!D360</f>
        <v>Ветеран</v>
      </c>
      <c r="O53" s="41" t="str">
        <f>'Бартер оружие'!E360</f>
        <v>Автоматы</v>
      </c>
      <c r="P53" s="41" t="str">
        <f t="shared" si="2"/>
        <v>Оружие</v>
      </c>
      <c r="Q53" s="42">
        <f>IF(ISNUMBER('Бартер оружие'!G365), 'Бартер оружие'!G365, "")</f>
        <v>962000</v>
      </c>
      <c r="R53" s="43">
        <v>1</v>
      </c>
      <c r="S53" s="41" t="s">
        <v>123</v>
      </c>
      <c r="T53" s="41" t="s">
        <v>501</v>
      </c>
      <c r="U53" s="44">
        <f t="shared" si="0"/>
        <v>1</v>
      </c>
      <c r="V53" s="44">
        <f>IF(U53=1,SUM($U$2:U53),"")</f>
        <v>52</v>
      </c>
    </row>
    <row r="54" spans="2:22">
      <c r="B54" s="47">
        <f>IFERROR(IF(MATCH(50,$V$2:$V$362,0)&gt;0,50,""),"")</f>
        <v>50</v>
      </c>
      <c r="C54" s="5" t="str">
        <f>IFERROR(INDEX($L$2:$Q$362,MATCH(50,$V$2:$V$362,0),2),"")</f>
        <v>ТОЗ-57</v>
      </c>
      <c r="D54" s="49" t="str">
        <f>IFERROR(INDEX($L$2:$Q$362,MATCH(50,$V$2:$V$362,0),3),"")</f>
        <v>Ветеран</v>
      </c>
      <c r="E54" s="47" t="str">
        <f>IFERROR(INDEX($L$2:$Q$362,MATCH(50,$V$2:$V$362,0),4),"")</f>
        <v>Дробовики и ружья</v>
      </c>
      <c r="I54" s="46"/>
      <c r="L54" s="41">
        <f>'Бартер оружие'!A367</f>
        <v>53</v>
      </c>
      <c r="M54" s="41" t="str">
        <f>'Бартер оружие'!C367</f>
        <v>L86A1</v>
      </c>
      <c r="N54" s="41" t="str">
        <f>'Бартер оружие'!D367</f>
        <v>Ветеран</v>
      </c>
      <c r="O54" s="41" t="str">
        <f>'Бартер оружие'!E367</f>
        <v>Пулеметы</v>
      </c>
      <c r="P54" s="41" t="str">
        <f t="shared" si="2"/>
        <v>Оружие</v>
      </c>
      <c r="Q54" s="42">
        <f>IF(ISNUMBER('Бартер оружие'!G372), 'Бартер оружие'!G372, "")</f>
        <v>311000</v>
      </c>
      <c r="R54" s="43">
        <v>1</v>
      </c>
      <c r="S54" s="41" t="s">
        <v>140</v>
      </c>
      <c r="T54" s="41" t="s">
        <v>502</v>
      </c>
      <c r="U54" s="44">
        <f t="shared" si="0"/>
        <v>1</v>
      </c>
      <c r="V54" s="44">
        <f>IF(U54=1,SUM($U$2:U54),"")</f>
        <v>53</v>
      </c>
    </row>
    <row r="55" spans="2:22">
      <c r="B55" s="47">
        <f>IFERROR(IF(MATCH(51,$V$2:$V$362,0)&gt;0,51,""),"")</f>
        <v>51</v>
      </c>
      <c r="C55" s="5" t="str">
        <f>IFERROR(INDEX($L$2:$Q$362,MATCH(51,$V$2:$V$362,0),2),"")</f>
        <v>Protecta</v>
      </c>
      <c r="D55" s="49" t="str">
        <f>IFERROR(INDEX($L$2:$Q$362,MATCH(51,$V$2:$V$362,0),3),"")</f>
        <v>Ветеран</v>
      </c>
      <c r="E55" s="47" t="str">
        <f>IFERROR(INDEX($L$2:$Q$362,MATCH(51,$V$2:$V$362,0),4),"")</f>
        <v>Дробовики и ружья</v>
      </c>
      <c r="I55" s="46"/>
      <c r="L55" s="41">
        <f>'Бартер оружие'!A374</f>
        <v>54</v>
      </c>
      <c r="M55" s="41" t="str">
        <f>'Бартер оружие'!C374</f>
        <v>МЦ-558</v>
      </c>
      <c r="N55" s="41" t="str">
        <f>'Бартер оружие'!D374</f>
        <v>Ветеран</v>
      </c>
      <c r="O55" s="41" t="str">
        <f>'Бартер оружие'!E374</f>
        <v>Снайперские винтовки</v>
      </c>
      <c r="P55" s="41" t="str">
        <f t="shared" si="2"/>
        <v>Оружие</v>
      </c>
      <c r="Q55" s="42">
        <f>IF(ISNUMBER('Бартер оружие'!G379), 'Бартер оружие'!G379, "")</f>
        <v>686000</v>
      </c>
      <c r="R55" s="43">
        <v>1</v>
      </c>
      <c r="S55" s="41" t="s">
        <v>127</v>
      </c>
      <c r="T55" s="41" t="s">
        <v>503</v>
      </c>
      <c r="U55" s="44">
        <f t="shared" si="0"/>
        <v>1</v>
      </c>
      <c r="V55" s="44">
        <f>IF(U55=1,SUM($U$2:U55),"")</f>
        <v>54</v>
      </c>
    </row>
    <row r="56" spans="2:22">
      <c r="B56" s="47">
        <f>IFERROR(IF(MATCH(52,$V$2:$V$362,0)&gt;0,52,""),"")</f>
        <v>52</v>
      </c>
      <c r="C56" s="5" t="str">
        <f>IFERROR(INDEX($L$2:$Q$362,MATCH(52,$V$2:$V$362,0),2),"")</f>
        <v>ОЦ-14 «Гроза»</v>
      </c>
      <c r="D56" s="49" t="str">
        <f>IFERROR(INDEX($L$2:$Q$362,MATCH(52,$V$2:$V$362,0),3),"")</f>
        <v>Ветеран</v>
      </c>
      <c r="E56" s="47" t="str">
        <f>IFERROR(INDEX($L$2:$Q$362,MATCH(52,$V$2:$V$362,0),4),"")</f>
        <v>Автоматы</v>
      </c>
      <c r="I56" s="46"/>
      <c r="L56" s="41">
        <f>'Бартер оружие'!A381</f>
        <v>55</v>
      </c>
      <c r="M56" s="41" t="str">
        <f>'Бартер оружие'!C381</f>
        <v>Beretta 93R</v>
      </c>
      <c r="N56" s="41" t="str">
        <f>'Бартер оружие'!D381</f>
        <v>Ветеран</v>
      </c>
      <c r="O56" s="41" t="str">
        <f>'Бартер оружие'!E381</f>
        <v>Пистолеты</v>
      </c>
      <c r="P56" s="41" t="str">
        <f t="shared" si="2"/>
        <v>Оружие</v>
      </c>
      <c r="Q56" s="42">
        <f>IF(ISNUMBER('Бартер оружие'!G386), 'Бартер оружие'!G386, "")</f>
        <v>333000</v>
      </c>
      <c r="R56" s="43">
        <v>2</v>
      </c>
      <c r="S56" s="41" t="s">
        <v>141</v>
      </c>
      <c r="T56" s="41" t="s">
        <v>504</v>
      </c>
      <c r="U56" s="44">
        <f t="shared" si="0"/>
        <v>1</v>
      </c>
      <c r="V56" s="44">
        <f>IF(U56=1,SUM($U$2:U56),"")</f>
        <v>55</v>
      </c>
    </row>
    <row r="57" spans="2:22">
      <c r="B57" s="47">
        <f>IFERROR(IF(MATCH(53,$V$2:$V$362,0)&gt;0,53,""),"")</f>
        <v>53</v>
      </c>
      <c r="C57" s="5" t="str">
        <f>IFERROR(INDEX($L$2:$Q$362,MATCH(53,$V$2:$V$362,0),2),"")</f>
        <v>L86A1</v>
      </c>
      <c r="D57" s="49" t="str">
        <f>IFERROR(INDEX($L$2:$Q$362,MATCH(53,$V$2:$V$362,0),3),"")</f>
        <v>Ветеран</v>
      </c>
      <c r="E57" s="47" t="str">
        <f>IFERROR(INDEX($L$2:$Q$362,MATCH(53,$V$2:$V$362,0),4),"")</f>
        <v>Пулеметы</v>
      </c>
      <c r="I57" s="46"/>
      <c r="L57" s="41">
        <f>'Бартер оружие'!A388</f>
        <v>56</v>
      </c>
      <c r="M57" s="41" t="str">
        <f>'Бартер оружие'!C388</f>
        <v>Desert Eagle Mark VII</v>
      </c>
      <c r="N57" s="41" t="str">
        <f>'Бартер оружие'!D388</f>
        <v>Ветеран</v>
      </c>
      <c r="O57" s="41" t="str">
        <f>'Бартер оружие'!E388</f>
        <v>Пистолеты</v>
      </c>
      <c r="P57" s="41" t="str">
        <f t="shared" si="2"/>
        <v>Оружие</v>
      </c>
      <c r="Q57" s="42">
        <f>IF(ISNUMBER('Бартер оружие'!G393), 'Бартер оружие'!G393, "")</f>
        <v>333000</v>
      </c>
      <c r="R57" s="43">
        <v>2</v>
      </c>
      <c r="S57" s="41" t="s">
        <v>142</v>
      </c>
      <c r="T57" s="41" t="s">
        <v>505</v>
      </c>
      <c r="U57" s="44">
        <f t="shared" si="0"/>
        <v>1</v>
      </c>
      <c r="V57" s="44">
        <f>IF(U57=1,SUM($U$2:U57),"")</f>
        <v>56</v>
      </c>
    </row>
    <row r="58" spans="2:22">
      <c r="B58" s="47">
        <f>IFERROR(IF(MATCH(54,$V$2:$V$362,0)&gt;0,54,""),"")</f>
        <v>54</v>
      </c>
      <c r="C58" s="5" t="str">
        <f>IFERROR(INDEX($L$2:$Q$362,MATCH(54,$V$2:$V$362,0),2),"")</f>
        <v>МЦ-558</v>
      </c>
      <c r="D58" s="49" t="str">
        <f>IFERROR(INDEX($L$2:$Q$362,MATCH(54,$V$2:$V$362,0),3),"")</f>
        <v>Ветеран</v>
      </c>
      <c r="E58" s="47" t="str">
        <f>IFERROR(INDEX($L$2:$Q$362,MATCH(54,$V$2:$V$362,0),4),"")</f>
        <v>Снайперские винтовки</v>
      </c>
      <c r="I58" s="46"/>
      <c r="L58" s="41">
        <f>'Бартер оружие'!A395</f>
        <v>57</v>
      </c>
      <c r="M58" s="41" t="str">
        <f>'Бартер оружие'!C395</f>
        <v>Glock 17</v>
      </c>
      <c r="N58" s="41" t="str">
        <f>'Бартер оружие'!D395</f>
        <v>Ветеран</v>
      </c>
      <c r="O58" s="41" t="str">
        <f>'Бартер оружие'!E395</f>
        <v>Пистолеты</v>
      </c>
      <c r="P58" s="41" t="str">
        <f t="shared" si="2"/>
        <v>Оружие</v>
      </c>
      <c r="Q58" s="42">
        <f>IF(ISNUMBER('Бартер оружие'!G400), 'Бартер оружие'!G400, "")</f>
        <v>333000</v>
      </c>
      <c r="R58" s="43">
        <v>2</v>
      </c>
      <c r="S58" s="41" t="s">
        <v>141</v>
      </c>
      <c r="T58" s="41" t="s">
        <v>506</v>
      </c>
      <c r="U58" s="44">
        <f t="shared" si="0"/>
        <v>1</v>
      </c>
      <c r="V58" s="44">
        <f>IF(U58=1,SUM($U$2:U58),"")</f>
        <v>57</v>
      </c>
    </row>
    <row r="59" spans="2:22">
      <c r="B59" s="47">
        <f>IFERROR(IF(MATCH(55,$V$2:$V$362,0)&gt;0,55,""),"")</f>
        <v>55</v>
      </c>
      <c r="C59" s="5" t="str">
        <f>IFERROR(INDEX($L$2:$Q$362,MATCH(55,$V$2:$V$362,0),2),"")</f>
        <v>Beretta 93R</v>
      </c>
      <c r="D59" s="49" t="str">
        <f>IFERROR(INDEX($L$2:$Q$362,MATCH(55,$V$2:$V$362,0),3),"")</f>
        <v>Ветеран</v>
      </c>
      <c r="E59" s="47" t="str">
        <f>IFERROR(INDEX($L$2:$Q$362,MATCH(55,$V$2:$V$362,0),4),"")</f>
        <v>Пистолеты</v>
      </c>
      <c r="I59" s="46"/>
      <c r="L59" s="41">
        <f>'Бартер оружие'!A402</f>
        <v>58</v>
      </c>
      <c r="M59" s="41" t="str">
        <f>'Бартер оружие'!C402</f>
        <v>АК-103</v>
      </c>
      <c r="N59" s="41" t="str">
        <f>'Бартер оружие'!D402</f>
        <v>Ветеран</v>
      </c>
      <c r="O59" s="41" t="str">
        <f>'Бартер оружие'!E402</f>
        <v>Автоматы</v>
      </c>
      <c r="P59" s="41" t="str">
        <f t="shared" si="2"/>
        <v>Оружие</v>
      </c>
      <c r="Q59" s="42">
        <f>IF(ISNUMBER('Бартер оружие'!G407), 'Бартер оружие'!G407, "")</f>
        <v>295000</v>
      </c>
      <c r="R59" s="43">
        <v>1</v>
      </c>
      <c r="S59" s="41" t="s">
        <v>143</v>
      </c>
      <c r="T59" s="41" t="s">
        <v>507</v>
      </c>
      <c r="U59" s="44">
        <f t="shared" si="0"/>
        <v>1</v>
      </c>
      <c r="V59" s="44">
        <f>IF(U59=1,SUM($U$2:U59),"")</f>
        <v>58</v>
      </c>
    </row>
    <row r="60" spans="2:22">
      <c r="B60" s="47">
        <f>IFERROR(IF(MATCH(56,$V$2:$V$362,0)&gt;0,56,""),"")</f>
        <v>56</v>
      </c>
      <c r="C60" s="5" t="str">
        <f>IFERROR(INDEX($L$2:$Q$362,MATCH(56,$V$2:$V$362,0),2),"")</f>
        <v>Desert Eagle Mark VII</v>
      </c>
      <c r="D60" s="49" t="str">
        <f>IFERROR(INDEX($L$2:$Q$362,MATCH(56,$V$2:$V$362,0),3),"")</f>
        <v>Ветеран</v>
      </c>
      <c r="E60" s="47" t="str">
        <f>IFERROR(INDEX($L$2:$Q$362,MATCH(56,$V$2:$V$362,0),4),"")</f>
        <v>Пистолеты</v>
      </c>
      <c r="I60" s="46"/>
      <c r="L60" s="41">
        <f>'Бартер оружие'!A409</f>
        <v>59</v>
      </c>
      <c r="M60" s="41" t="str">
        <f>'Бартер оружие'!C409</f>
        <v>АКМ «Тишина»</v>
      </c>
      <c r="N60" s="41" t="str">
        <f>'Бартер оружие'!D409</f>
        <v>Ветеран</v>
      </c>
      <c r="O60" s="41" t="str">
        <f>'Бартер оружие'!E409</f>
        <v>Автоматы</v>
      </c>
      <c r="P60" s="41" t="str">
        <f t="shared" si="2"/>
        <v>Оружие</v>
      </c>
      <c r="Q60" s="42">
        <f>IF(ISNUMBER('Бартер оружие'!G414), 'Бартер оружие'!G414, "")</f>
        <v>295000</v>
      </c>
      <c r="R60" s="43">
        <v>1</v>
      </c>
      <c r="S60" s="41" t="s">
        <v>143</v>
      </c>
      <c r="T60" s="41" t="s">
        <v>508</v>
      </c>
      <c r="U60" s="44">
        <f t="shared" si="0"/>
        <v>1</v>
      </c>
      <c r="V60" s="44">
        <f>IF(U60=1,SUM($U$2:U60),"")</f>
        <v>59</v>
      </c>
    </row>
    <row r="61" spans="2:22">
      <c r="B61" s="47">
        <f>IFERROR(IF(MATCH(57,$V$2:$V$362,0)&gt;0,57,""),"")</f>
        <v>57</v>
      </c>
      <c r="C61" s="5" t="str">
        <f>IFERROR(INDEX($L$2:$Q$362,MATCH(57,$V$2:$V$362,0),2),"")</f>
        <v>Glock 17</v>
      </c>
      <c r="D61" s="49" t="str">
        <f>IFERROR(INDEX($L$2:$Q$362,MATCH(57,$V$2:$V$362,0),3),"")</f>
        <v>Ветеран</v>
      </c>
      <c r="E61" s="47" t="str">
        <f>IFERROR(INDEX($L$2:$Q$362,MATCH(57,$V$2:$V$362,0),4),"")</f>
        <v>Пистолеты</v>
      </c>
      <c r="I61" s="46"/>
      <c r="L61" s="41">
        <f>'Бартер оружие'!A416</f>
        <v>60</v>
      </c>
      <c r="M61" s="41" t="str">
        <f>'Бартер оружие'!C416</f>
        <v>АН-94М «Абакан»</v>
      </c>
      <c r="N61" s="41" t="str">
        <f>'Бартер оружие'!D416</f>
        <v>Ветеран</v>
      </c>
      <c r="O61" s="41" t="str">
        <f>'Бартер оружие'!E416</f>
        <v>Автоматы</v>
      </c>
      <c r="P61" s="41" t="str">
        <f t="shared" si="2"/>
        <v>Оружие</v>
      </c>
      <c r="Q61" s="42">
        <f>IF(ISNUMBER('Бартер оружие'!G421), 'Бартер оружие'!G421, "")</f>
        <v>295000</v>
      </c>
      <c r="R61" s="43">
        <v>1</v>
      </c>
      <c r="S61" s="41" t="s">
        <v>144</v>
      </c>
      <c r="T61" s="41" t="s">
        <v>509</v>
      </c>
      <c r="U61" s="44">
        <f t="shared" si="0"/>
        <v>1</v>
      </c>
      <c r="V61" s="44">
        <f>IF(U61=1,SUM($U$2:U61),"")</f>
        <v>60</v>
      </c>
    </row>
    <row r="62" spans="2:22">
      <c r="B62" s="47">
        <f>IFERROR(IF(MATCH(58,$V$2:$V$362,0)&gt;0,58,""),"")</f>
        <v>58</v>
      </c>
      <c r="C62" s="5" t="str">
        <f>IFERROR(INDEX($L$2:$Q$362,MATCH(58,$V$2:$V$362,0),2),"")</f>
        <v>АК-103</v>
      </c>
      <c r="D62" s="49" t="str">
        <f>IFERROR(INDEX($L$2:$Q$362,MATCH(58,$V$2:$V$362,0),3),"")</f>
        <v>Ветеран</v>
      </c>
      <c r="E62" s="47" t="str">
        <f>IFERROR(INDEX($L$2:$Q$362,MATCH(58,$V$2:$V$362,0),4),"")</f>
        <v>Автоматы</v>
      </c>
      <c r="I62" s="46"/>
      <c r="L62" s="41">
        <f>'Бартер оружие'!A423</f>
        <v>61</v>
      </c>
      <c r="M62" s="41" t="str">
        <f>'Бартер оружие'!C423</f>
        <v>Поношенный HK G3A1</v>
      </c>
      <c r="N62" s="41" t="str">
        <f>'Бартер оружие'!D423</f>
        <v>Ветеран</v>
      </c>
      <c r="O62" s="41" t="str">
        <f>'Бартер оружие'!E423</f>
        <v>Автоматы</v>
      </c>
      <c r="P62" s="41" t="str">
        <f t="shared" si="2"/>
        <v>Оружие</v>
      </c>
      <c r="Q62" s="42">
        <f>IF(ISNUMBER('Бартер оружие'!G428), 'Бартер оружие'!G428, "")</f>
        <v>295000</v>
      </c>
      <c r="R62" s="43">
        <v>2</v>
      </c>
      <c r="S62" s="41" t="s">
        <v>510</v>
      </c>
      <c r="T62" s="41" t="s">
        <v>511</v>
      </c>
      <c r="U62" s="44">
        <f t="shared" si="0"/>
        <v>1</v>
      </c>
      <c r="V62" s="44">
        <f>IF(U62=1,SUM($U$2:U62),"")</f>
        <v>61</v>
      </c>
    </row>
    <row r="63" spans="2:22">
      <c r="B63" s="47">
        <f>IFERROR(IF(MATCH(59,$V$2:$V$362,0)&gt;0,59,""),"")</f>
        <v>59</v>
      </c>
      <c r="C63" s="5" t="str">
        <f>IFERROR(INDEX($L$2:$Q$362,MATCH(59,$V$2:$V$362,0),2),"")</f>
        <v>АКМ «Тишина»</v>
      </c>
      <c r="D63" s="49" t="str">
        <f>IFERROR(INDEX($L$2:$Q$362,MATCH(59,$V$2:$V$362,0),3),"")</f>
        <v>Ветеран</v>
      </c>
      <c r="E63" s="47" t="str">
        <f>IFERROR(INDEX($L$2:$Q$362,MATCH(59,$V$2:$V$362,0),4),"")</f>
        <v>Автоматы</v>
      </c>
      <c r="I63" s="46"/>
      <c r="L63" s="41">
        <f>'Бартер оружие'!A430</f>
        <v>62</v>
      </c>
      <c r="M63" s="41" t="str">
        <f>'Бартер оружие'!C430</f>
        <v>L85A1</v>
      </c>
      <c r="N63" s="41" t="str">
        <f>'Бартер оружие'!D430</f>
        <v>Ветеран</v>
      </c>
      <c r="O63" s="41" t="str">
        <f>'Бартер оружие'!E430</f>
        <v>Автоматы</v>
      </c>
      <c r="P63" s="41" t="str">
        <f t="shared" si="2"/>
        <v>Оружие</v>
      </c>
      <c r="Q63" s="42">
        <f>IF(ISNUMBER('Бартер оружие'!G435), 'Бартер оружие'!G435, "")</f>
        <v>297000</v>
      </c>
      <c r="R63" s="43">
        <v>1</v>
      </c>
      <c r="S63" s="41" t="s">
        <v>146</v>
      </c>
      <c r="T63" s="41" t="s">
        <v>512</v>
      </c>
      <c r="U63" s="44">
        <f t="shared" si="0"/>
        <v>1</v>
      </c>
      <c r="V63" s="44">
        <f>IF(U63=1,SUM($U$2:U63),"")</f>
        <v>62</v>
      </c>
    </row>
    <row r="64" spans="2:22">
      <c r="B64" s="47">
        <f>IFERROR(IF(MATCH(60,$V$2:$V$362,0)&gt;0,60,""),"")</f>
        <v>60</v>
      </c>
      <c r="C64" s="5" t="str">
        <f>IFERROR(INDEX($L$2:$Q$362,MATCH(60,$V$2:$V$362,0),2),"")</f>
        <v>АН-94М «Абакан»</v>
      </c>
      <c r="D64" s="49" t="str">
        <f>IFERROR(INDEX($L$2:$Q$362,MATCH(60,$V$2:$V$362,0),3),"")</f>
        <v>Ветеран</v>
      </c>
      <c r="E64" s="47" t="str">
        <f>IFERROR(INDEX($L$2:$Q$362,MATCH(60,$V$2:$V$362,0),4),"")</f>
        <v>Автоматы</v>
      </c>
      <c r="I64" s="46"/>
      <c r="L64" s="41">
        <f>'Бартер оружие'!A437</f>
        <v>63</v>
      </c>
      <c r="M64" s="41" t="str">
        <f>'Бартер оружие'!C437</f>
        <v>LWRC M6</v>
      </c>
      <c r="N64" s="41" t="str">
        <f>'Бартер оружие'!D437</f>
        <v>Ветеран</v>
      </c>
      <c r="O64" s="41" t="str">
        <f>'Бартер оружие'!E437</f>
        <v>Автоматы</v>
      </c>
      <c r="P64" s="41" t="str">
        <f t="shared" si="2"/>
        <v>Оружие</v>
      </c>
      <c r="Q64" s="42">
        <f>IF(ISNUMBER('Бартер оружие'!G442), 'Бартер оружие'!G442, "")</f>
        <v>297000</v>
      </c>
      <c r="R64" s="43">
        <v>1</v>
      </c>
      <c r="S64" s="41" t="s">
        <v>147</v>
      </c>
      <c r="T64" s="41" t="s">
        <v>513</v>
      </c>
      <c r="U64" s="44">
        <f t="shared" si="0"/>
        <v>1</v>
      </c>
      <c r="V64" s="44">
        <f>IF(U64=1,SUM($U$2:U64),"")</f>
        <v>63</v>
      </c>
    </row>
    <row r="65" spans="2:22">
      <c r="B65" s="47">
        <f>IFERROR(IF(MATCH(61,$V$2:$V$362,0)&gt;0,61,""),"")</f>
        <v>61</v>
      </c>
      <c r="C65" s="5" t="str">
        <f>IFERROR(INDEX($L$2:$Q$362,MATCH(61,$V$2:$V$362,0),2),"")</f>
        <v>Поношенный HK G3A1</v>
      </c>
      <c r="D65" s="49" t="str">
        <f>IFERROR(INDEX($L$2:$Q$362,MATCH(61,$V$2:$V$362,0),3),"")</f>
        <v>Ветеран</v>
      </c>
      <c r="E65" s="47" t="str">
        <f>IFERROR(INDEX($L$2:$Q$362,MATCH(61,$V$2:$V$362,0),4),"")</f>
        <v>Автоматы</v>
      </c>
      <c r="I65" s="46"/>
      <c r="L65" s="41">
        <f>'Бартер оружие'!A444</f>
        <v>64</v>
      </c>
      <c r="M65" s="41" t="str">
        <f>'Бартер оружие'!C444</f>
        <v>SIG SG 550</v>
      </c>
      <c r="N65" s="41" t="str">
        <f>'Бартер оружие'!D444</f>
        <v>Ветеран</v>
      </c>
      <c r="O65" s="41" t="str">
        <f>'Бартер оружие'!E444</f>
        <v>Автоматы</v>
      </c>
      <c r="P65" s="41" t="str">
        <f t="shared" si="2"/>
        <v>Оружие</v>
      </c>
      <c r="Q65" s="42">
        <f>IF(ISNUMBER('Бартер оружие'!G449), 'Бартер оружие'!G449, "")</f>
        <v>297000</v>
      </c>
      <c r="R65" s="43">
        <v>1</v>
      </c>
      <c r="S65" s="41" t="s">
        <v>145</v>
      </c>
      <c r="T65" s="41" t="s">
        <v>514</v>
      </c>
      <c r="U65" s="44">
        <f t="shared" si="0"/>
        <v>1</v>
      </c>
      <c r="V65" s="44">
        <f>IF(U65=1,SUM($U$2:U65),"")</f>
        <v>64</v>
      </c>
    </row>
    <row r="66" spans="2:22">
      <c r="B66" s="47">
        <f>IFERROR(IF(MATCH(62,$V$2:$V$362,0)&gt;0,62,""),"")</f>
        <v>62</v>
      </c>
      <c r="C66" s="5" t="str">
        <f>IFERROR(INDEX($L$2:$Q$362,MATCH(62,$V$2:$V$362,0),2),"")</f>
        <v>L85A1</v>
      </c>
      <c r="D66" s="49" t="str">
        <f>IFERROR(INDEX($L$2:$Q$362,MATCH(62,$V$2:$V$362,0),3),"")</f>
        <v>Ветеран</v>
      </c>
      <c r="E66" s="47" t="str">
        <f>IFERROR(INDEX($L$2:$Q$362,MATCH(62,$V$2:$V$362,0),4),"")</f>
        <v>Автоматы</v>
      </c>
      <c r="I66" s="46"/>
      <c r="L66" s="41">
        <f>'Бартер оружие'!A451</f>
        <v>65</v>
      </c>
      <c r="M66" s="41" t="str">
        <f>'Бартер оружие'!C451</f>
        <v>Мачете Survival SP8 Ontario</v>
      </c>
      <c r="N66" s="41" t="str">
        <f>'Бартер оружие'!D451</f>
        <v>Ветеран</v>
      </c>
      <c r="O66" s="41" t="str">
        <f>'Бартер оружие'!E451</f>
        <v>Ближний бой</v>
      </c>
      <c r="P66" s="41" t="str">
        <f t="shared" si="2"/>
        <v>Оружие</v>
      </c>
      <c r="Q66" s="42">
        <f>IF(ISNUMBER('Бартер оружие'!G456), 'Бартер оружие'!G456, "")</f>
        <v>242000</v>
      </c>
      <c r="R66" s="43">
        <v>2</v>
      </c>
      <c r="S66" s="41" t="s">
        <v>148</v>
      </c>
      <c r="T66" s="41" t="s">
        <v>515</v>
      </c>
      <c r="U66" s="44">
        <f t="shared" ref="U66:U129" si="3">IF(IF($D$2="",1,--ISNUMBER(SEARCH($D$2,M66)))*IF($D$3="Все",1,--(O66=$D$3))=1,1,0)</f>
        <v>1</v>
      </c>
      <c r="V66" s="44">
        <f>IF(U66=1,SUM($U$2:U66),"")</f>
        <v>65</v>
      </c>
    </row>
    <row r="67" spans="2:22">
      <c r="B67" s="47">
        <f>IFERROR(IF(MATCH(63,$V$2:$V$362,0)&gt;0,63,""),"")</f>
        <v>63</v>
      </c>
      <c r="C67" s="5" t="str">
        <f>IFERROR(INDEX($L$2:$Q$362,MATCH(63,$V$2:$V$362,0),2),"")</f>
        <v>LWRC M6</v>
      </c>
      <c r="D67" s="49" t="str">
        <f>IFERROR(INDEX($L$2:$Q$362,MATCH(63,$V$2:$V$362,0),3),"")</f>
        <v>Ветеран</v>
      </c>
      <c r="E67" s="47" t="str">
        <f>IFERROR(INDEX($L$2:$Q$362,MATCH(63,$V$2:$V$362,0),4),"")</f>
        <v>Автоматы</v>
      </c>
      <c r="I67" s="46"/>
      <c r="L67" s="41">
        <f>'Бартер оружие'!A458</f>
        <v>66</v>
      </c>
      <c r="M67" s="41" t="str">
        <f>'Бартер оружие'!C458</f>
        <v>ПП-19 «Бизон-2-01»</v>
      </c>
      <c r="N67" s="41" t="str">
        <f>'Бартер оружие'!D458</f>
        <v>Ветеран</v>
      </c>
      <c r="O67" s="41" t="str">
        <f>'Бартер оружие'!E458</f>
        <v>Пистолеты-пулеметы</v>
      </c>
      <c r="P67" s="41" t="str">
        <f t="shared" si="2"/>
        <v>Оружие</v>
      </c>
      <c r="Q67" s="42">
        <f>IF(ISNUMBER('Бартер оружие'!G463), 'Бартер оружие'!G463, "")</f>
        <v>262000</v>
      </c>
      <c r="R67" s="43">
        <v>1</v>
      </c>
      <c r="S67" s="41" t="s">
        <v>149</v>
      </c>
      <c r="T67" s="41" t="s">
        <v>516</v>
      </c>
      <c r="U67" s="44">
        <f t="shared" si="3"/>
        <v>1</v>
      </c>
      <c r="V67" s="44">
        <f>IF(U67=1,SUM($U$2:U67),"")</f>
        <v>66</v>
      </c>
    </row>
    <row r="68" spans="2:22">
      <c r="B68" s="47">
        <f>IFERROR(IF(MATCH(64,$V$2:$V$362,0)&gt;0,64,""),"")</f>
        <v>64</v>
      </c>
      <c r="C68" s="5" t="str">
        <f>IFERROR(INDEX($L$2:$Q$362,MATCH(64,$V$2:$V$362,0),2),"")</f>
        <v>SIG SG 550</v>
      </c>
      <c r="D68" s="49" t="str">
        <f>IFERROR(INDEX($L$2:$Q$362,MATCH(64,$V$2:$V$362,0),3),"")</f>
        <v>Ветеран</v>
      </c>
      <c r="E68" s="47" t="str">
        <f>IFERROR(INDEX($L$2:$Q$362,MATCH(64,$V$2:$V$362,0),4),"")</f>
        <v>Автоматы</v>
      </c>
      <c r="I68" s="46"/>
      <c r="L68" s="41">
        <f>'Бартер оружие'!A465</f>
        <v>67</v>
      </c>
      <c r="M68" s="41" t="str">
        <f>'Бартер оружие'!C465</f>
        <v>ПП-19-01 «Витязь»</v>
      </c>
      <c r="N68" s="41" t="str">
        <f>'Бартер оружие'!D465</f>
        <v>Ветеран</v>
      </c>
      <c r="O68" s="41" t="str">
        <f>'Бартер оружие'!E465</f>
        <v>Пистолеты-пулеметы</v>
      </c>
      <c r="P68" s="41" t="str">
        <f t="shared" si="2"/>
        <v>Оружие</v>
      </c>
      <c r="Q68" s="42">
        <f>IF(ISNUMBER('Бартер оружие'!G470), 'Бартер оружие'!G470, "")</f>
        <v>262000</v>
      </c>
      <c r="R68" s="43">
        <v>1</v>
      </c>
      <c r="S68" s="41" t="s">
        <v>149</v>
      </c>
      <c r="T68" s="41" t="s">
        <v>517</v>
      </c>
      <c r="U68" s="44">
        <f t="shared" si="3"/>
        <v>1</v>
      </c>
      <c r="V68" s="44">
        <f>IF(U68=1,SUM($U$2:U68),"")</f>
        <v>67</v>
      </c>
    </row>
    <row r="69" spans="2:22">
      <c r="B69" s="47">
        <f>IFERROR(IF(MATCH(65,$V$2:$V$362,0)&gt;0,65,""),"")</f>
        <v>65</v>
      </c>
      <c r="C69" s="5" t="str">
        <f>IFERROR(INDEX($L$2:$Q$362,MATCH(65,$V$2:$V$362,0),2),"")</f>
        <v>Мачете Survival SP8 Ontario</v>
      </c>
      <c r="D69" s="49" t="str">
        <f>IFERROR(INDEX($L$2:$Q$362,MATCH(65,$V$2:$V$362,0),3),"")</f>
        <v>Ветеран</v>
      </c>
      <c r="E69" s="47" t="str">
        <f>IFERROR(INDEX($L$2:$Q$362,MATCH(65,$V$2:$V$362,0),4),"")</f>
        <v>Ближний бой</v>
      </c>
      <c r="I69" s="46"/>
      <c r="L69" s="41">
        <f>'Бартер оружие'!A472</f>
        <v>68</v>
      </c>
      <c r="M69" s="41" t="str">
        <f>'Бартер оружие'!C472</f>
        <v>СР-2М «Вереск»</v>
      </c>
      <c r="N69" s="41" t="str">
        <f>'Бартер оружие'!D472</f>
        <v>Ветеран</v>
      </c>
      <c r="O69" s="41" t="str">
        <f>'Бартер оружие'!E472</f>
        <v>Пистолеты-пулеметы</v>
      </c>
      <c r="P69" s="41" t="str">
        <f t="shared" si="2"/>
        <v>Оружие</v>
      </c>
      <c r="Q69" s="42">
        <f>IF(ISNUMBER('Бартер оружие'!G477), 'Бартер оружие'!G477, "")</f>
        <v>262000</v>
      </c>
      <c r="R69" s="43">
        <v>1</v>
      </c>
      <c r="S69" s="41" t="s">
        <v>150</v>
      </c>
      <c r="T69" s="41" t="s">
        <v>518</v>
      </c>
      <c r="U69" s="44">
        <f t="shared" si="3"/>
        <v>1</v>
      </c>
      <c r="V69" s="44">
        <f>IF(U69=1,SUM($U$2:U69),"")</f>
        <v>68</v>
      </c>
    </row>
    <row r="70" spans="2:22">
      <c r="B70" s="47">
        <f>IFERROR(IF(MATCH(66,$V$2:$V$362,0)&gt;0,66,""),"")</f>
        <v>66</v>
      </c>
      <c r="C70" s="5" t="str">
        <f>IFERROR(INDEX($L$2:$Q$362,MATCH(66,$V$2:$V$362,0),2),"")</f>
        <v>ПП-19 «Бизон-2-01»</v>
      </c>
      <c r="D70" s="49" t="str">
        <f>IFERROR(INDEX($L$2:$Q$362,MATCH(66,$V$2:$V$362,0),3),"")</f>
        <v>Ветеран</v>
      </c>
      <c r="E70" s="47" t="str">
        <f>IFERROR(INDEX($L$2:$Q$362,MATCH(66,$V$2:$V$362,0),4),"")</f>
        <v>Пистолеты-пулеметы</v>
      </c>
      <c r="I70" s="46"/>
      <c r="L70" s="41">
        <f>'Бартер оружие'!A479</f>
        <v>69</v>
      </c>
      <c r="M70" s="41" t="str">
        <f>'Бартер оружие'!C479</f>
        <v>HK UMP45</v>
      </c>
      <c r="N70" s="41" t="str">
        <f>'Бартер оружие'!D479</f>
        <v>Ветеран</v>
      </c>
      <c r="O70" s="41" t="str">
        <f>'Бартер оружие'!E479</f>
        <v>Пистолеты-пулеметы</v>
      </c>
      <c r="P70" s="41" t="str">
        <f t="shared" ref="P70:P101" si="4">"Оружие"</f>
        <v>Оружие</v>
      </c>
      <c r="Q70" s="42">
        <f>IF(ISNUMBER('Бартер оружие'!G484), 'Бартер оружие'!G484, "")</f>
        <v>264000</v>
      </c>
      <c r="R70" s="43">
        <v>1</v>
      </c>
      <c r="S70" s="41" t="s">
        <v>151</v>
      </c>
      <c r="T70" s="41" t="s">
        <v>519</v>
      </c>
      <c r="U70" s="44">
        <f t="shared" si="3"/>
        <v>1</v>
      </c>
      <c r="V70" s="44">
        <f>IF(U70=1,SUM($U$2:U70),"")</f>
        <v>69</v>
      </c>
    </row>
    <row r="71" spans="2:22">
      <c r="B71" s="47">
        <f>IFERROR(IF(MATCH(67,$V$2:$V$362,0)&gt;0,67,""),"")</f>
        <v>67</v>
      </c>
      <c r="C71" s="5" t="str">
        <f>IFERROR(INDEX($L$2:$Q$362,MATCH(67,$V$2:$V$362,0),2),"")</f>
        <v>ПП-19-01 «Витязь»</v>
      </c>
      <c r="D71" s="49" t="str">
        <f>IFERROR(INDEX($L$2:$Q$362,MATCH(67,$V$2:$V$362,0),3),"")</f>
        <v>Ветеран</v>
      </c>
      <c r="E71" s="47" t="str">
        <f>IFERROR(INDEX($L$2:$Q$362,MATCH(67,$V$2:$V$362,0),4),"")</f>
        <v>Пистолеты-пулеметы</v>
      </c>
      <c r="I71" s="46"/>
      <c r="L71" s="41">
        <f>'Бартер оружие'!A486</f>
        <v>70</v>
      </c>
      <c r="M71" s="41" t="str">
        <f>'Бартер оружие'!C486</f>
        <v>РПД</v>
      </c>
      <c r="N71" s="41" t="str">
        <f>'Бартер оружие'!D486</f>
        <v>Ветеран</v>
      </c>
      <c r="O71" s="41" t="str">
        <f>'Бартер оружие'!E486</f>
        <v>Пулеметы</v>
      </c>
      <c r="P71" s="41" t="str">
        <f t="shared" si="4"/>
        <v>Оружие</v>
      </c>
      <c r="Q71" s="42">
        <f>IF(ISNUMBER('Бартер оружие'!G491), 'Бартер оружие'!G491, "")</f>
        <v>255000</v>
      </c>
      <c r="R71" s="43">
        <v>1</v>
      </c>
      <c r="S71" s="41" t="s">
        <v>143</v>
      </c>
      <c r="T71" s="41" t="s">
        <v>520</v>
      </c>
      <c r="U71" s="44">
        <f t="shared" si="3"/>
        <v>1</v>
      </c>
      <c r="V71" s="44">
        <f>IF(U71=1,SUM($U$2:U71),"")</f>
        <v>70</v>
      </c>
    </row>
    <row r="72" spans="2:22">
      <c r="B72" s="47">
        <f>IFERROR(IF(MATCH(68,$V$2:$V$362,0)&gt;0,68,""),"")</f>
        <v>68</v>
      </c>
      <c r="C72" s="5" t="str">
        <f>IFERROR(INDEX($L$2:$Q$362,MATCH(68,$V$2:$V$362,0),2),"")</f>
        <v>СР-2М «Вереск»</v>
      </c>
      <c r="D72" s="49" t="str">
        <f>IFERROR(INDEX($L$2:$Q$362,MATCH(68,$V$2:$V$362,0),3),"")</f>
        <v>Ветеран</v>
      </c>
      <c r="E72" s="47" t="str">
        <f>IFERROR(INDEX($L$2:$Q$362,MATCH(68,$V$2:$V$362,0),4),"")</f>
        <v>Пистолеты-пулеметы</v>
      </c>
      <c r="I72" s="46"/>
      <c r="L72" s="41">
        <f>'Бартер оружие'!A493</f>
        <v>71</v>
      </c>
      <c r="M72" s="41" t="str">
        <f>'Бартер оружие'!C493</f>
        <v>РПК-74</v>
      </c>
      <c r="N72" s="41" t="str">
        <f>'Бартер оружие'!D493</f>
        <v>Ветеран</v>
      </c>
      <c r="O72" s="41" t="str">
        <f>'Бартер оружие'!E493</f>
        <v>Пулеметы</v>
      </c>
      <c r="P72" s="41" t="str">
        <f t="shared" si="4"/>
        <v>Оружие</v>
      </c>
      <c r="Q72" s="42">
        <f>IF(ISNUMBER('Бартер оружие'!G498), 'Бартер оружие'!G498, "")</f>
        <v>255000</v>
      </c>
      <c r="R72" s="43">
        <v>1</v>
      </c>
      <c r="S72" s="41" t="s">
        <v>143</v>
      </c>
      <c r="T72" s="41" t="s">
        <v>521</v>
      </c>
      <c r="U72" s="44">
        <f t="shared" si="3"/>
        <v>1</v>
      </c>
      <c r="V72" s="44">
        <f>IF(U72=1,SUM($U$2:U72),"")</f>
        <v>71</v>
      </c>
    </row>
    <row r="73" spans="2:22">
      <c r="B73" s="47">
        <f>IFERROR(IF(MATCH(69,$V$2:$V$362,0)&gt;0,69,""),"")</f>
        <v>69</v>
      </c>
      <c r="C73" s="5" t="str">
        <f>IFERROR(INDEX($L$2:$Q$362,MATCH(69,$V$2:$V$362,0),2),"")</f>
        <v>HK UMP45</v>
      </c>
      <c r="D73" s="49" t="str">
        <f>IFERROR(INDEX($L$2:$Q$362,MATCH(69,$V$2:$V$362,0),3),"")</f>
        <v>Ветеран</v>
      </c>
      <c r="E73" s="47" t="str">
        <f>IFERROR(INDEX($L$2:$Q$362,MATCH(69,$V$2:$V$362,0),4),"")</f>
        <v>Пистолеты-пулеметы</v>
      </c>
      <c r="I73" s="46"/>
      <c r="L73" s="41">
        <f>'Бартер оружие'!A500</f>
        <v>72</v>
      </c>
      <c r="M73" s="41" t="str">
        <f>'Бартер оружие'!C500</f>
        <v>ТОЗ-55</v>
      </c>
      <c r="N73" s="41" t="str">
        <f>'Бартер оружие'!D500</f>
        <v>Ветеран</v>
      </c>
      <c r="O73" s="41" t="str">
        <f>'Бартер оружие'!E500</f>
        <v>Дробовики и ружья</v>
      </c>
      <c r="P73" s="41" t="str">
        <f t="shared" si="4"/>
        <v>Оружие</v>
      </c>
      <c r="Q73" s="42">
        <f>IF(ISNUMBER('Бартер оружие'!G505), 'Бартер оружие'!G505, "")</f>
        <v>216000</v>
      </c>
      <c r="R73" s="43">
        <v>1</v>
      </c>
      <c r="S73" s="41" t="s">
        <v>152</v>
      </c>
      <c r="T73" s="41" t="s">
        <v>522</v>
      </c>
      <c r="U73" s="44">
        <f t="shared" si="3"/>
        <v>1</v>
      </c>
      <c r="V73" s="44">
        <f>IF(U73=1,SUM($U$2:U73),"")</f>
        <v>72</v>
      </c>
    </row>
    <row r="74" spans="2:22">
      <c r="B74" s="47">
        <f>IFERROR(IF(MATCH(70,$V$2:$V$362,0)&gt;0,70,""),"")</f>
        <v>70</v>
      </c>
      <c r="C74" s="5" t="str">
        <f>IFERROR(INDEX($L$2:$Q$362,MATCH(70,$V$2:$V$362,0),2),"")</f>
        <v>РПД</v>
      </c>
      <c r="D74" s="49" t="str">
        <f>IFERROR(INDEX($L$2:$Q$362,MATCH(70,$V$2:$V$362,0),3),"")</f>
        <v>Ветеран</v>
      </c>
      <c r="E74" s="47" t="str">
        <f>IFERROR(INDEX($L$2:$Q$362,MATCH(70,$V$2:$V$362,0),4),"")</f>
        <v>Пулеметы</v>
      </c>
      <c r="I74" s="46"/>
      <c r="L74" s="41">
        <f>'Бартер оружие'!A507</f>
        <v>73</v>
      </c>
      <c r="M74" s="41" t="str">
        <f>'Бартер оружие'!C507</f>
        <v>Поношенная M40A5</v>
      </c>
      <c r="N74" s="41" t="str">
        <f>'Бартер оружие'!D507</f>
        <v>Ветеран</v>
      </c>
      <c r="O74" s="41" t="str">
        <f>'Бартер оружие'!E507</f>
        <v>Снайперские винтовки</v>
      </c>
      <c r="P74" s="41" t="str">
        <f t="shared" si="4"/>
        <v>Оружие</v>
      </c>
      <c r="Q74" s="42">
        <f>IF(ISNUMBER('Бартер оружие'!G512), 'Бартер оружие'!G512, "")</f>
        <v>202313</v>
      </c>
      <c r="R74" s="43">
        <v>1</v>
      </c>
      <c r="S74" s="41" t="s">
        <v>153</v>
      </c>
      <c r="T74" s="41" t="s">
        <v>523</v>
      </c>
      <c r="U74" s="44">
        <f t="shared" si="3"/>
        <v>1</v>
      </c>
      <c r="V74" s="44">
        <f>IF(U74=1,SUM($U$2:U74),"")</f>
        <v>73</v>
      </c>
    </row>
    <row r="75" spans="2:22">
      <c r="B75" s="47">
        <f>IFERROR(IF(MATCH(71,$V$2:$V$362,0)&gt;0,71,""),"")</f>
        <v>71</v>
      </c>
      <c r="C75" s="5" t="str">
        <f>IFERROR(INDEX($L$2:$Q$362,MATCH(71,$V$2:$V$362,0),2),"")</f>
        <v>РПК-74</v>
      </c>
      <c r="D75" s="49" t="str">
        <f>IFERROR(INDEX($L$2:$Q$362,MATCH(71,$V$2:$V$362,0),3),"")</f>
        <v>Ветеран</v>
      </c>
      <c r="E75" s="47" t="str">
        <f>IFERROR(INDEX($L$2:$Q$362,MATCH(71,$V$2:$V$362,0),4),"")</f>
        <v>Пулеметы</v>
      </c>
      <c r="I75" s="46"/>
      <c r="L75" s="41">
        <f>'Бартер оружие'!A514</f>
        <v>74</v>
      </c>
      <c r="M75" s="41" t="str">
        <f>'Бартер оружие'!C514</f>
        <v>СВД</v>
      </c>
      <c r="N75" s="41" t="str">
        <f>'Бартер оружие'!D514</f>
        <v>Ветеран</v>
      </c>
      <c r="O75" s="41" t="str">
        <f>'Бартер оружие'!E514</f>
        <v>Снайперские винтовки</v>
      </c>
      <c r="P75" s="41" t="str">
        <f t="shared" si="4"/>
        <v>Оружие</v>
      </c>
      <c r="Q75" s="42">
        <f>IF(ISNUMBER('Бартер оружие'!G519), 'Бартер оружие'!G519, "")</f>
        <v>202000</v>
      </c>
      <c r="R75" s="43">
        <v>1</v>
      </c>
      <c r="S75" s="41" t="s">
        <v>154</v>
      </c>
      <c r="T75" s="41" t="s">
        <v>524</v>
      </c>
      <c r="U75" s="44">
        <f t="shared" si="3"/>
        <v>1</v>
      </c>
      <c r="V75" s="44">
        <f>IF(U75=1,SUM($U$2:U75),"")</f>
        <v>74</v>
      </c>
    </row>
    <row r="76" spans="2:22">
      <c r="B76" s="47">
        <f>IFERROR(IF(MATCH(72,$V$2:$V$362,0)&gt;0,72,""),"")</f>
        <v>72</v>
      </c>
      <c r="C76" s="5" t="str">
        <f>IFERROR(INDEX($L$2:$Q$362,MATCH(72,$V$2:$V$362,0),2),"")</f>
        <v>ТОЗ-55</v>
      </c>
      <c r="D76" s="49" t="str">
        <f>IFERROR(INDEX($L$2:$Q$362,MATCH(72,$V$2:$V$362,0),3),"")</f>
        <v>Ветеран</v>
      </c>
      <c r="E76" s="47" t="str">
        <f>IFERROR(INDEX($L$2:$Q$362,MATCH(72,$V$2:$V$362,0),4),"")</f>
        <v>Дробовики и ружья</v>
      </c>
      <c r="I76" s="46"/>
      <c r="L76" s="41">
        <f>'Бартер оружие'!A521</f>
        <v>75</v>
      </c>
      <c r="M76" s="41" t="str">
        <f>'Бартер оружие'!C521</f>
        <v>M1A</v>
      </c>
      <c r="N76" s="41" t="str">
        <f>'Бартер оружие'!D521</f>
        <v>Ветеран</v>
      </c>
      <c r="O76" s="41" t="str">
        <f>'Бартер оружие'!E521</f>
        <v>Снайперские винтовки</v>
      </c>
      <c r="P76" s="41" t="str">
        <f t="shared" si="4"/>
        <v>Оружие</v>
      </c>
      <c r="Q76" s="42">
        <f>IF(ISNUMBER('Бартер оружие'!G526), 'Бартер оружие'!G526, "")</f>
        <v>202000</v>
      </c>
      <c r="R76" s="43">
        <v>1</v>
      </c>
      <c r="S76" s="41" t="s">
        <v>155</v>
      </c>
      <c r="T76" s="41" t="s">
        <v>525</v>
      </c>
      <c r="U76" s="44">
        <f t="shared" si="3"/>
        <v>1</v>
      </c>
      <c r="V76" s="44">
        <f>IF(U76=1,SUM($U$2:U76),"")</f>
        <v>75</v>
      </c>
    </row>
    <row r="77" spans="2:22">
      <c r="B77" s="47">
        <f>IFERROR(IF(MATCH(73,$V$2:$V$362,0)&gt;0,73,""),"")</f>
        <v>73</v>
      </c>
      <c r="C77" s="5" t="str">
        <f>IFERROR(INDEX($L$2:$Q$362,MATCH(73,$V$2:$V$362,0),2),"")</f>
        <v>Поношенная M40A5</v>
      </c>
      <c r="D77" s="49" t="str">
        <f>IFERROR(INDEX($L$2:$Q$362,MATCH(73,$V$2:$V$362,0),3),"")</f>
        <v>Ветеран</v>
      </c>
      <c r="E77" s="47" t="str">
        <f>IFERROR(INDEX($L$2:$Q$362,MATCH(73,$V$2:$V$362,0),4),"")</f>
        <v>Снайперские винтовки</v>
      </c>
      <c r="I77" s="46"/>
      <c r="L77" s="41">
        <f>'Бартер оружие'!A528</f>
        <v>76</v>
      </c>
      <c r="M77" s="41" t="str">
        <f>'Бартер оружие'!C528</f>
        <v>M1014</v>
      </c>
      <c r="N77" s="41" t="str">
        <f>'Бартер оружие'!D528</f>
        <v>Ветеран</v>
      </c>
      <c r="O77" s="41" t="str">
        <f>'Бартер оружие'!E528</f>
        <v>Дробовики и ружья</v>
      </c>
      <c r="P77" s="41" t="str">
        <f t="shared" si="4"/>
        <v>Оружие</v>
      </c>
      <c r="Q77" s="42">
        <f>IF(ISNUMBER('Бартер оружие'!G533), 'Бартер оружие'!G533, "")</f>
        <v>216000</v>
      </c>
      <c r="R77" s="43">
        <v>1</v>
      </c>
      <c r="S77" s="41" t="s">
        <v>156</v>
      </c>
      <c r="T77" s="41" t="s">
        <v>526</v>
      </c>
      <c r="U77" s="44">
        <f t="shared" si="3"/>
        <v>1</v>
      </c>
      <c r="V77" s="44">
        <f>IF(U77=1,SUM($U$2:U77),"")</f>
        <v>76</v>
      </c>
    </row>
    <row r="78" spans="2:22">
      <c r="B78" s="47">
        <f>IFERROR(IF(MATCH(74,$V$2:$V$362,0)&gt;0,74,""),"")</f>
        <v>74</v>
      </c>
      <c r="C78" s="5" t="str">
        <f>IFERROR(INDEX($L$2:$Q$362,MATCH(74,$V$2:$V$362,0),2),"")</f>
        <v>СВД</v>
      </c>
      <c r="D78" s="49" t="str">
        <f>IFERROR(INDEX($L$2:$Q$362,MATCH(74,$V$2:$V$362,0),3),"")</f>
        <v>Ветеран</v>
      </c>
      <c r="E78" s="47" t="str">
        <f>IFERROR(INDEX($L$2:$Q$362,MATCH(74,$V$2:$V$362,0),4),"")</f>
        <v>Снайперские винтовки</v>
      </c>
      <c r="I78" s="46"/>
      <c r="L78" s="41">
        <f>'Бартер оружие'!A535</f>
        <v>77</v>
      </c>
      <c r="M78" s="41" t="str">
        <f>'Бартер оружие'!C535</f>
        <v>MP-133</v>
      </c>
      <c r="N78" s="41" t="str">
        <f>'Бартер оружие'!D535</f>
        <v>Ветеран</v>
      </c>
      <c r="O78" s="41" t="str">
        <f>'Бартер оружие'!E535</f>
        <v>Дробовики и ружья</v>
      </c>
      <c r="P78" s="41" t="str">
        <f t="shared" si="4"/>
        <v>Оружие</v>
      </c>
      <c r="Q78" s="42">
        <f>IF(ISNUMBER('Бартер оружие'!G540), 'Бартер оружие'!G540, "")</f>
        <v>216000</v>
      </c>
      <c r="R78" s="43">
        <v>1</v>
      </c>
      <c r="S78" s="41" t="s">
        <v>157</v>
      </c>
      <c r="T78" s="41" t="s">
        <v>527</v>
      </c>
      <c r="U78" s="44">
        <f t="shared" si="3"/>
        <v>1</v>
      </c>
      <c r="V78" s="44">
        <f>IF(U78=1,SUM($U$2:U78),"")</f>
        <v>77</v>
      </c>
    </row>
    <row r="79" spans="2:22">
      <c r="B79" s="47">
        <f>IFERROR(IF(MATCH(75,$V$2:$V$362,0)&gt;0,75,""),"")</f>
        <v>75</v>
      </c>
      <c r="C79" s="5" t="str">
        <f>IFERROR(INDEX($L$2:$Q$362,MATCH(75,$V$2:$V$362,0),2),"")</f>
        <v>M1A</v>
      </c>
      <c r="D79" s="49" t="str">
        <f>IFERROR(INDEX($L$2:$Q$362,MATCH(75,$V$2:$V$362,0),3),"")</f>
        <v>Ветеран</v>
      </c>
      <c r="E79" s="47" t="str">
        <f>IFERROR(INDEX($L$2:$Q$362,MATCH(75,$V$2:$V$362,0),4),"")</f>
        <v>Снайперские винтовки</v>
      </c>
      <c r="I79" s="46"/>
      <c r="L79" s="41">
        <f>'Бартер оружие'!A542</f>
        <v>78</v>
      </c>
      <c r="M79" s="41" t="str">
        <f>'Бартер оружие'!C542</f>
        <v>ОЦ-04</v>
      </c>
      <c r="N79" s="41" t="str">
        <f>'Бартер оружие'!D542</f>
        <v>Ветеран</v>
      </c>
      <c r="O79" s="41" t="str">
        <f>'Бартер оружие'!E542</f>
        <v>Ближний бой</v>
      </c>
      <c r="P79" s="41" t="str">
        <f t="shared" si="4"/>
        <v>Оружие</v>
      </c>
      <c r="Q79" s="42">
        <f>IF(ISNUMBER('Бартер оружие'!G547), 'Бартер оружие'!G547, "")</f>
        <v>55400</v>
      </c>
      <c r="R79" s="43">
        <v>1</v>
      </c>
      <c r="S79" s="41"/>
      <c r="T79" s="41" t="s">
        <v>528</v>
      </c>
      <c r="U79" s="44">
        <f t="shared" si="3"/>
        <v>1</v>
      </c>
      <c r="V79" s="44">
        <f>IF(U79=1,SUM($U$2:U79),"")</f>
        <v>78</v>
      </c>
    </row>
    <row r="80" spans="2:22">
      <c r="B80" s="47">
        <f>IFERROR(IF(MATCH(76,$V$2:$V$362,0)&gt;0,76,""),"")</f>
        <v>76</v>
      </c>
      <c r="C80" s="5" t="str">
        <f>IFERROR(INDEX($L$2:$Q$362,MATCH(76,$V$2:$V$362,0),2),"")</f>
        <v>M1014</v>
      </c>
      <c r="D80" s="49" t="str">
        <f>IFERROR(INDEX($L$2:$Q$362,MATCH(76,$V$2:$V$362,0),3),"")</f>
        <v>Ветеран</v>
      </c>
      <c r="E80" s="47" t="str">
        <f>IFERROR(INDEX($L$2:$Q$362,MATCH(76,$V$2:$V$362,0),4),"")</f>
        <v>Дробовики и ружья</v>
      </c>
      <c r="I80" s="46"/>
      <c r="L80" s="41">
        <f>'Бартер оружие'!A549</f>
        <v>79</v>
      </c>
      <c r="M80" s="41" t="str">
        <f>'Бартер оружие'!C549</f>
        <v>Штык-нож M9</v>
      </c>
      <c r="N80" s="41" t="str">
        <f>'Бартер оружие'!D549</f>
        <v>Ветеран</v>
      </c>
      <c r="O80" s="41" t="str">
        <f>'Бартер оружие'!E549</f>
        <v>Ближний бой</v>
      </c>
      <c r="P80" s="41" t="str">
        <f t="shared" si="4"/>
        <v>Оружие</v>
      </c>
      <c r="Q80" s="42">
        <f>IF(ISNUMBER('Бартер оружие'!G554), 'Бартер оружие'!G554, "")</f>
        <v>55400</v>
      </c>
      <c r="R80" s="43">
        <v>1</v>
      </c>
      <c r="S80" s="41"/>
      <c r="T80" s="41" t="s">
        <v>529</v>
      </c>
      <c r="U80" s="44">
        <f t="shared" si="3"/>
        <v>1</v>
      </c>
      <c r="V80" s="44">
        <f>IF(U80=1,SUM($U$2:U80),"")</f>
        <v>79</v>
      </c>
    </row>
    <row r="81" spans="2:22">
      <c r="B81" s="47">
        <f>IFERROR(IF(MATCH(77,$V$2:$V$362,0)&gt;0,77,""),"")</f>
        <v>77</v>
      </c>
      <c r="C81" s="5" t="str">
        <f>IFERROR(INDEX($L$2:$Q$362,MATCH(77,$V$2:$V$362,0),2),"")</f>
        <v>MP-133</v>
      </c>
      <c r="D81" s="49" t="str">
        <f>IFERROR(INDEX($L$2:$Q$362,MATCH(77,$V$2:$V$362,0),3),"")</f>
        <v>Ветеран</v>
      </c>
      <c r="E81" s="47" t="str">
        <f>IFERROR(INDEX($L$2:$Q$362,MATCH(77,$V$2:$V$362,0),4),"")</f>
        <v>Дробовики и ружья</v>
      </c>
      <c r="I81" s="46"/>
      <c r="L81" s="41">
        <f>'Бартер оружие'!A556</f>
        <v>80</v>
      </c>
      <c r="M81" s="41" t="str">
        <f>'Бартер оружие'!C556</f>
        <v>Colt Python</v>
      </c>
      <c r="N81" s="41" t="str">
        <f>'Бартер оружие'!D556</f>
        <v>Ветеран</v>
      </c>
      <c r="O81" s="41" t="str">
        <f>'Бартер оружие'!E556</f>
        <v>Пистолеты</v>
      </c>
      <c r="P81" s="41" t="str">
        <f t="shared" si="4"/>
        <v>Оружие</v>
      </c>
      <c r="Q81" s="42">
        <f>IF(ISNUMBER('Бартер оружие'!G561), 'Бартер оружие'!G561, "")</f>
        <v>342000</v>
      </c>
      <c r="R81" s="43">
        <v>1</v>
      </c>
      <c r="S81" s="41" t="s">
        <v>160</v>
      </c>
      <c r="T81" s="41" t="s">
        <v>530</v>
      </c>
      <c r="U81" s="44">
        <f t="shared" si="3"/>
        <v>1</v>
      </c>
      <c r="V81" s="44">
        <f>IF(U81=1,SUM($U$2:U81),"")</f>
        <v>80</v>
      </c>
    </row>
    <row r="82" spans="2:22">
      <c r="B82" s="47">
        <f>IFERROR(IF(MATCH(78,$V$2:$V$362,0)&gt;0,78,""),"")</f>
        <v>78</v>
      </c>
      <c r="C82" s="5" t="str">
        <f>IFERROR(INDEX($L$2:$Q$362,MATCH(78,$V$2:$V$362,0),2),"")</f>
        <v>ОЦ-04</v>
      </c>
      <c r="D82" s="49" t="str">
        <f>IFERROR(INDEX($L$2:$Q$362,MATCH(78,$V$2:$V$362,0),3),"")</f>
        <v>Ветеран</v>
      </c>
      <c r="E82" s="47" t="str">
        <f>IFERROR(INDEX($L$2:$Q$362,MATCH(78,$V$2:$V$362,0),4),"")</f>
        <v>Ближний бой</v>
      </c>
      <c r="I82" s="46"/>
      <c r="L82" s="41">
        <f>'Бартер оружие'!A563</f>
        <v>81</v>
      </c>
      <c r="M82" s="41" t="str">
        <f>'Бартер оружие'!C563</f>
        <v>Поношенный Colt Python</v>
      </c>
      <c r="N82" s="41" t="str">
        <f>'Бартер оружие'!D563</f>
        <v>Ветеран</v>
      </c>
      <c r="O82" s="41" t="str">
        <f>'Бартер оружие'!E563</f>
        <v>Пистолеты</v>
      </c>
      <c r="P82" s="41" t="str">
        <f t="shared" si="4"/>
        <v>Оружие</v>
      </c>
      <c r="Q82" s="42">
        <f>IF(ISNUMBER('Бартер оружие'!G568), 'Бартер оружие'!G568, "")</f>
        <v>94000</v>
      </c>
      <c r="R82" s="43">
        <v>2</v>
      </c>
      <c r="S82" s="41" t="s">
        <v>161</v>
      </c>
      <c r="T82" s="41" t="s">
        <v>531</v>
      </c>
      <c r="U82" s="44">
        <f t="shared" si="3"/>
        <v>1</v>
      </c>
      <c r="V82" s="44">
        <f>IF(U82=1,SUM($U$2:U82),"")</f>
        <v>81</v>
      </c>
    </row>
    <row r="83" spans="2:22">
      <c r="B83" s="47">
        <f>IFERROR(IF(MATCH(79,$V$2:$V$362,0)&gt;0,79,""),"")</f>
        <v>79</v>
      </c>
      <c r="C83" s="5" t="str">
        <f>IFERROR(INDEX($L$2:$Q$362,MATCH(79,$V$2:$V$362,0),2),"")</f>
        <v>Штык-нож M9</v>
      </c>
      <c r="D83" s="49" t="str">
        <f>IFERROR(INDEX($L$2:$Q$362,MATCH(79,$V$2:$V$362,0),3),"")</f>
        <v>Ветеран</v>
      </c>
      <c r="E83" s="47" t="str">
        <f>IFERROR(INDEX($L$2:$Q$362,MATCH(79,$V$2:$V$362,0),4),"")</f>
        <v>Ближний бой</v>
      </c>
      <c r="I83" s="46"/>
      <c r="L83" s="41">
        <f>'Бартер оружие'!A570</f>
        <v>82</v>
      </c>
      <c r="M83" s="41" t="str">
        <f>'Бартер оружие'!C570</f>
        <v>Beretta 92FS</v>
      </c>
      <c r="N83" s="41" t="str">
        <f>'Бартер оружие'!D570</f>
        <v>Ветеран</v>
      </c>
      <c r="O83" s="41" t="str">
        <f>'Бартер оружие'!E570</f>
        <v>Пистолеты</v>
      </c>
      <c r="P83" s="41" t="str">
        <f t="shared" si="4"/>
        <v>Оружие</v>
      </c>
      <c r="Q83" s="42">
        <f>IF(ISNUMBER('Бартер оружие'!G575), 'Бартер оружие'!G575, "")</f>
        <v>94000</v>
      </c>
      <c r="R83" s="43">
        <v>3</v>
      </c>
      <c r="S83" s="41" t="s">
        <v>532</v>
      </c>
      <c r="T83" s="41" t="s">
        <v>533</v>
      </c>
      <c r="U83" s="44">
        <f t="shared" si="3"/>
        <v>1</v>
      </c>
      <c r="V83" s="44">
        <f>IF(U83=1,SUM($U$2:U83),"")</f>
        <v>82</v>
      </c>
    </row>
    <row r="84" spans="2:22">
      <c r="B84" s="47">
        <f>IFERROR(IF(MATCH(80,$V$2:$V$362,0)&gt;0,80,""),"")</f>
        <v>80</v>
      </c>
      <c r="C84" s="5" t="str">
        <f>IFERROR(INDEX($L$2:$Q$362,MATCH(80,$V$2:$V$362,0),2),"")</f>
        <v>Colt Python</v>
      </c>
      <c r="D84" s="49" t="str">
        <f>IFERROR(INDEX($L$2:$Q$362,MATCH(80,$V$2:$V$362,0),3),"")</f>
        <v>Ветеран</v>
      </c>
      <c r="E84" s="47" t="str">
        <f>IFERROR(INDEX($L$2:$Q$362,MATCH(80,$V$2:$V$362,0),4),"")</f>
        <v>Пистолеты</v>
      </c>
      <c r="I84" s="46"/>
      <c r="L84" s="41">
        <f>'Бартер оружие'!A577</f>
        <v>83</v>
      </c>
      <c r="M84" s="41" t="str">
        <f>'Бартер оружие'!C577</f>
        <v>SW1911</v>
      </c>
      <c r="N84" s="41" t="str">
        <f>'Бартер оружие'!D577</f>
        <v>Ветеран</v>
      </c>
      <c r="O84" s="41" t="str">
        <f>'Бартер оружие'!E577</f>
        <v>Пистолеты</v>
      </c>
      <c r="P84" s="41" t="str">
        <f t="shared" si="4"/>
        <v>Оружие</v>
      </c>
      <c r="Q84" s="42">
        <f>IF(ISNUMBER('Бартер оружие'!G582), 'Бартер оружие'!G582, "")</f>
        <v>94000</v>
      </c>
      <c r="R84" s="43">
        <v>2</v>
      </c>
      <c r="S84" s="41" t="s">
        <v>161</v>
      </c>
      <c r="T84" s="41" t="s">
        <v>534</v>
      </c>
      <c r="U84" s="44">
        <f t="shared" si="3"/>
        <v>1</v>
      </c>
      <c r="V84" s="44">
        <f>IF(U84=1,SUM($U$2:U84),"")</f>
        <v>83</v>
      </c>
    </row>
    <row r="85" spans="2:22">
      <c r="B85" s="47">
        <f>IFERROR(IF(MATCH(81,$V$2:$V$362,0)&gt;0,81,""),"")</f>
        <v>81</v>
      </c>
      <c r="C85" s="5" t="str">
        <f>IFERROR(INDEX($L$2:$Q$362,MATCH(81,$V$2:$V$362,0),2),"")</f>
        <v>Поношенный Colt Python</v>
      </c>
      <c r="D85" s="49" t="str">
        <f>IFERROR(INDEX($L$2:$Q$362,MATCH(81,$V$2:$V$362,0),3),"")</f>
        <v>Ветеран</v>
      </c>
      <c r="E85" s="47" t="str">
        <f>IFERROR(INDEX($L$2:$Q$362,MATCH(81,$V$2:$V$362,0),4),"")</f>
        <v>Пистолеты</v>
      </c>
      <c r="I85" s="46"/>
      <c r="L85" s="41">
        <f>'Бартер оружие'!A584</f>
        <v>84</v>
      </c>
      <c r="M85" s="41" t="str">
        <f>'Бартер оружие'!C584</f>
        <v>Охотничий мачете</v>
      </c>
      <c r="N85" s="41" t="str">
        <f>'Бартер оружие'!D584</f>
        <v>Ветеран</v>
      </c>
      <c r="O85" s="41" t="str">
        <f>'Бартер оружие'!E584</f>
        <v>Ближний бой</v>
      </c>
      <c r="P85" s="41" t="str">
        <f t="shared" si="4"/>
        <v>Оружие</v>
      </c>
      <c r="Q85" s="42">
        <f>IF(ISNUMBER('Бартер оружие'!G589), 'Бартер оружие'!G589, "")</f>
        <v>70400</v>
      </c>
      <c r="R85" s="43">
        <v>1</v>
      </c>
      <c r="S85" s="41" t="s">
        <v>164</v>
      </c>
      <c r="T85" s="41" t="s">
        <v>535</v>
      </c>
      <c r="U85" s="44">
        <f t="shared" si="3"/>
        <v>1</v>
      </c>
      <c r="V85" s="44">
        <f>IF(U85=1,SUM($U$2:U85),"")</f>
        <v>84</v>
      </c>
    </row>
    <row r="86" spans="2:22">
      <c r="B86" s="47">
        <f>IFERROR(IF(MATCH(82,$V$2:$V$362,0)&gt;0,82,""),"")</f>
        <v>82</v>
      </c>
      <c r="C86" s="5" t="str">
        <f>IFERROR(INDEX($L$2:$Q$362,MATCH(82,$V$2:$V$362,0),2),"")</f>
        <v>Beretta 92FS</v>
      </c>
      <c r="D86" s="49" t="str">
        <f>IFERROR(INDEX($L$2:$Q$362,MATCH(82,$V$2:$V$362,0),3),"")</f>
        <v>Ветеран</v>
      </c>
      <c r="E86" s="47" t="str">
        <f>IFERROR(INDEX($L$2:$Q$362,MATCH(82,$V$2:$V$362,0),4),"")</f>
        <v>Пистолеты</v>
      </c>
      <c r="I86" s="46"/>
      <c r="L86" s="41">
        <f>'Бартер оружие'!A591</f>
        <v>85</v>
      </c>
      <c r="M86" s="41" t="str">
        <f>'Бартер оружие'!C591</f>
        <v>АКМ</v>
      </c>
      <c r="N86" s="41" t="str">
        <f>'Бартер оружие'!D591</f>
        <v>Сталкер</v>
      </c>
      <c r="O86" s="41" t="str">
        <f>'Бартер оружие'!E591</f>
        <v>Автоматы</v>
      </c>
      <c r="P86" s="41" t="str">
        <f t="shared" si="4"/>
        <v>Оружие</v>
      </c>
      <c r="Q86" s="42">
        <f>IF(ISNUMBER('Бартер оружие'!G596), 'Бартер оружие'!G596, "")</f>
        <v>58300</v>
      </c>
      <c r="R86" s="43">
        <v>2</v>
      </c>
      <c r="S86" s="41" t="s">
        <v>166</v>
      </c>
      <c r="T86" s="41" t="s">
        <v>536</v>
      </c>
      <c r="U86" s="44">
        <f t="shared" si="3"/>
        <v>1</v>
      </c>
      <c r="V86" s="44">
        <f>IF(U86=1,SUM($U$2:U86),"")</f>
        <v>85</v>
      </c>
    </row>
    <row r="87" spans="2:22">
      <c r="B87" s="47">
        <f>IFERROR(IF(MATCH(83,$V$2:$V$362,0)&gt;0,83,""),"")</f>
        <v>83</v>
      </c>
      <c r="C87" s="5" t="str">
        <f>IFERROR(INDEX($L$2:$Q$362,MATCH(83,$V$2:$V$362,0),2),"")</f>
        <v>SW1911</v>
      </c>
      <c r="D87" s="49" t="str">
        <f>IFERROR(INDEX($L$2:$Q$362,MATCH(83,$V$2:$V$362,0),3),"")</f>
        <v>Ветеран</v>
      </c>
      <c r="E87" s="47" t="str">
        <f>IFERROR(INDEX($L$2:$Q$362,MATCH(83,$V$2:$V$362,0),4),"")</f>
        <v>Пистолеты</v>
      </c>
      <c r="I87" s="46"/>
      <c r="L87" s="41">
        <f>'Бартер оружие'!A598</f>
        <v>86</v>
      </c>
      <c r="M87" s="41" t="str">
        <f>'Бартер оружие'!C598</f>
        <v>АН-94 «Абакан»</v>
      </c>
      <c r="N87" s="41" t="str">
        <f>'Бартер оружие'!D598</f>
        <v>Сталкер</v>
      </c>
      <c r="O87" s="41" t="str">
        <f>'Бартер оружие'!E598</f>
        <v>Автоматы</v>
      </c>
      <c r="P87" s="41" t="str">
        <f t="shared" si="4"/>
        <v>Оружие</v>
      </c>
      <c r="Q87" s="42">
        <f>IF(ISNUMBER('Бартер оружие'!G603), 'Бартер оружие'!G603, "")</f>
        <v>58300</v>
      </c>
      <c r="R87" s="43">
        <v>2</v>
      </c>
      <c r="S87" s="41" t="s">
        <v>166</v>
      </c>
      <c r="T87" s="41" t="s">
        <v>537</v>
      </c>
      <c r="U87" s="44">
        <f t="shared" si="3"/>
        <v>1</v>
      </c>
      <c r="V87" s="44">
        <f>IF(U87=1,SUM($U$2:U87),"")</f>
        <v>86</v>
      </c>
    </row>
    <row r="88" spans="2:22">
      <c r="B88" s="47">
        <f>IFERROR(IF(MATCH(84,$V$2:$V$362,0)&gt;0,84,""),"")</f>
        <v>84</v>
      </c>
      <c r="C88" s="5" t="str">
        <f>IFERROR(INDEX($L$2:$Q$362,MATCH(84,$V$2:$V$362,0),2),"")</f>
        <v>Охотничий мачете</v>
      </c>
      <c r="D88" s="49" t="str">
        <f>IFERROR(INDEX($L$2:$Q$362,MATCH(84,$V$2:$V$362,0),3),"")</f>
        <v>Ветеран</v>
      </c>
      <c r="E88" s="47" t="str">
        <f>IFERROR(INDEX($L$2:$Q$362,MATCH(84,$V$2:$V$362,0),4),"")</f>
        <v>Ближний бой</v>
      </c>
      <c r="I88" s="46"/>
      <c r="L88" s="41">
        <f>'Бартер оружие'!A605</f>
        <v>87</v>
      </c>
      <c r="M88" s="41" t="str">
        <f>'Бартер оружие'!C605</f>
        <v>Поношенный L85A1</v>
      </c>
      <c r="N88" s="41" t="str">
        <f>'Бартер оружие'!D605</f>
        <v>Сталкер</v>
      </c>
      <c r="O88" s="41" t="str">
        <f>'Бартер оружие'!E605</f>
        <v>Автоматы</v>
      </c>
      <c r="P88" s="41" t="str">
        <f t="shared" si="4"/>
        <v>Оружие</v>
      </c>
      <c r="Q88" s="42">
        <f>IF(ISNUMBER('Бартер оружие'!G610), 'Бартер оружие'!G610, "")</f>
        <v>58600</v>
      </c>
      <c r="R88" s="43">
        <v>2</v>
      </c>
      <c r="S88" s="41" t="s">
        <v>167</v>
      </c>
      <c r="T88" s="41" t="s">
        <v>538</v>
      </c>
      <c r="U88" s="44">
        <f t="shared" si="3"/>
        <v>1</v>
      </c>
      <c r="V88" s="44">
        <f>IF(U88=1,SUM($U$2:U88),"")</f>
        <v>87</v>
      </c>
    </row>
    <row r="89" spans="2:22">
      <c r="B89" s="47">
        <f>IFERROR(IF(MATCH(85,$V$2:$V$362,0)&gt;0,85,""),"")</f>
        <v>85</v>
      </c>
      <c r="C89" s="6" t="str">
        <f>IFERROR(INDEX($L$2:$Q$362,MATCH(85,$V$2:$V$362,0),2),"")</f>
        <v>АКМ</v>
      </c>
      <c r="D89" s="50" t="str">
        <f>IFERROR(INDEX($L$2:$Q$362,MATCH(85,$V$2:$V$362,0),3),"")</f>
        <v>Сталкер</v>
      </c>
      <c r="E89" s="47" t="str">
        <f>IFERROR(INDEX($L$2:$Q$362,MATCH(85,$V$2:$V$362,0),4),"")</f>
        <v>Автоматы</v>
      </c>
      <c r="I89" s="46"/>
      <c r="L89" s="41">
        <f>'Бартер оружие'!A612</f>
        <v>88</v>
      </c>
      <c r="M89" s="41" t="str">
        <f>'Бартер оружие'!C612</f>
        <v>Поношенный SIG SG 550</v>
      </c>
      <c r="N89" s="41" t="str">
        <f>'Бартер оружие'!D612</f>
        <v>Сталкер</v>
      </c>
      <c r="O89" s="41" t="str">
        <f>'Бартер оружие'!E612</f>
        <v>Автоматы</v>
      </c>
      <c r="P89" s="41" t="str">
        <f t="shared" si="4"/>
        <v>Оружие</v>
      </c>
      <c r="Q89" s="42">
        <f>IF(ISNUMBER('Бартер оружие'!G617), 'Бартер оружие'!G617, "")</f>
        <v>58600</v>
      </c>
      <c r="R89" s="43">
        <v>2</v>
      </c>
      <c r="S89" s="41" t="s">
        <v>167</v>
      </c>
      <c r="T89" s="41" t="s">
        <v>539</v>
      </c>
      <c r="U89" s="44">
        <f t="shared" si="3"/>
        <v>1</v>
      </c>
      <c r="V89" s="44">
        <f>IF(U89=1,SUM($U$2:U89),"")</f>
        <v>88</v>
      </c>
    </row>
    <row r="90" spans="2:22">
      <c r="B90" s="47">
        <f>IFERROR(IF(MATCH(86,$V$2:$V$362,0)&gt;0,86,""),"")</f>
        <v>86</v>
      </c>
      <c r="C90" s="6" t="str">
        <f>IFERROR(INDEX($L$2:$Q$362,MATCH(86,$V$2:$V$362,0),2),"")</f>
        <v>АН-94 «Абакан»</v>
      </c>
      <c r="D90" s="50" t="str">
        <f>IFERROR(INDEX($L$2:$Q$362,MATCH(86,$V$2:$V$362,0),3),"")</f>
        <v>Сталкер</v>
      </c>
      <c r="E90" s="47" t="str">
        <f>IFERROR(INDEX($L$2:$Q$362,MATCH(86,$V$2:$V$362,0),4),"")</f>
        <v>Автоматы</v>
      </c>
      <c r="I90" s="46"/>
      <c r="L90" s="41">
        <f>'Бартер оружие'!A619</f>
        <v>89</v>
      </c>
      <c r="M90" s="41" t="str">
        <f>'Бартер оружие'!C619</f>
        <v>M4A1</v>
      </c>
      <c r="N90" s="41" t="str">
        <f>'Бартер оружие'!D619</f>
        <v>Сталкер</v>
      </c>
      <c r="O90" s="41" t="str">
        <f>'Бартер оружие'!E619</f>
        <v>Автоматы</v>
      </c>
      <c r="P90" s="41" t="str">
        <f t="shared" si="4"/>
        <v>Оружие</v>
      </c>
      <c r="Q90" s="42">
        <f>IF(ISNUMBER('Бартер оружие'!G624), 'Бартер оружие'!G624, "")</f>
        <v>58600</v>
      </c>
      <c r="R90" s="43">
        <v>2</v>
      </c>
      <c r="S90" s="41" t="s">
        <v>167</v>
      </c>
      <c r="T90" s="41" t="s">
        <v>540</v>
      </c>
      <c r="U90" s="44">
        <f t="shared" si="3"/>
        <v>1</v>
      </c>
      <c r="V90" s="44">
        <f>IF(U90=1,SUM($U$2:U90),"")</f>
        <v>89</v>
      </c>
    </row>
    <row r="91" spans="2:22">
      <c r="B91" s="47">
        <f>IFERROR(IF(MATCH(87,$V$2:$V$362,0)&gt;0,87,""),"")</f>
        <v>87</v>
      </c>
      <c r="C91" s="6" t="str">
        <f>IFERROR(INDEX($L$2:$Q$362,MATCH(87,$V$2:$V$362,0),2),"")</f>
        <v>Поношенный L85A1</v>
      </c>
      <c r="D91" s="50" t="str">
        <f>IFERROR(INDEX($L$2:$Q$362,MATCH(87,$V$2:$V$362,0),3),"")</f>
        <v>Сталкер</v>
      </c>
      <c r="E91" s="47" t="str">
        <f>IFERROR(INDEX($L$2:$Q$362,MATCH(87,$V$2:$V$362,0),4),"")</f>
        <v>Автоматы</v>
      </c>
      <c r="I91" s="46"/>
      <c r="L91" s="41">
        <f>'Бартер оружие'!A626</f>
        <v>90</v>
      </c>
      <c r="M91" s="41" t="str">
        <f>'Бартер оружие'!C626</f>
        <v>Поношенный L86A1</v>
      </c>
      <c r="N91" s="41" t="str">
        <f>'Бартер оружие'!D626</f>
        <v>Сталкер</v>
      </c>
      <c r="O91" s="41" t="str">
        <f>'Бартер оружие'!E626</f>
        <v>Пулеметы</v>
      </c>
      <c r="P91" s="41" t="str">
        <f t="shared" si="4"/>
        <v>Оружие</v>
      </c>
      <c r="Q91" s="42">
        <f>IF(ISNUMBER('Бартер оружие'!G631), 'Бартер оружие'!G631, "")</f>
        <v>51600</v>
      </c>
      <c r="R91" s="43">
        <v>2</v>
      </c>
      <c r="S91" s="41" t="s">
        <v>167</v>
      </c>
      <c r="T91" s="41" t="s">
        <v>541</v>
      </c>
      <c r="U91" s="44">
        <f t="shared" si="3"/>
        <v>1</v>
      </c>
      <c r="V91" s="44">
        <f>IF(U91=1,SUM($U$2:U91),"")</f>
        <v>90</v>
      </c>
    </row>
    <row r="92" spans="2:22">
      <c r="B92" s="47">
        <f>IFERROR(IF(MATCH(88,$V$2:$V$362,0)&gt;0,88,""),"")</f>
        <v>88</v>
      </c>
      <c r="C92" s="6" t="str">
        <f>IFERROR(INDEX($L$2:$Q$362,MATCH(88,$V$2:$V$362,0),2),"")</f>
        <v>Поношенный SIG SG 550</v>
      </c>
      <c r="D92" s="50" t="str">
        <f>IFERROR(INDEX($L$2:$Q$362,MATCH(88,$V$2:$V$362,0),3),"")</f>
        <v>Сталкер</v>
      </c>
      <c r="E92" s="47" t="str">
        <f>IFERROR(INDEX($L$2:$Q$362,MATCH(88,$V$2:$V$362,0),4),"")</f>
        <v>Автоматы</v>
      </c>
      <c r="I92" s="46"/>
      <c r="L92" s="41">
        <f>'Бартер оружие'!A633</f>
        <v>91</v>
      </c>
      <c r="M92" s="41" t="str">
        <f>'Бартер оружие'!C633</f>
        <v>АЕК-919К «Каштан»</v>
      </c>
      <c r="N92" s="41" t="str">
        <f>'Бартер оружие'!D633</f>
        <v>Сталкер</v>
      </c>
      <c r="O92" s="41" t="str">
        <f>'Бартер оружие'!E633</f>
        <v>Пистолеты-пулеметы</v>
      </c>
      <c r="P92" s="41" t="str">
        <f t="shared" si="4"/>
        <v>Оружие</v>
      </c>
      <c r="Q92" s="42">
        <f>IF(ISNUMBER('Бартер оружие'!G638), 'Бартер оружие'!G638, "")</f>
        <v>48200</v>
      </c>
      <c r="R92" s="43">
        <v>2</v>
      </c>
      <c r="S92" s="41" t="s">
        <v>168</v>
      </c>
      <c r="T92" s="41" t="s">
        <v>542</v>
      </c>
      <c r="U92" s="44">
        <f t="shared" si="3"/>
        <v>1</v>
      </c>
      <c r="V92" s="44">
        <f>IF(U92=1,SUM($U$2:U92),"")</f>
        <v>91</v>
      </c>
    </row>
    <row r="93" spans="2:22">
      <c r="B93" s="47">
        <f>IFERROR(IF(MATCH(89,$V$2:$V$362,0)&gt;0,89,""),"")</f>
        <v>89</v>
      </c>
      <c r="C93" s="6" t="str">
        <f>IFERROR(INDEX($L$2:$Q$362,MATCH(89,$V$2:$V$362,0),2),"")</f>
        <v>M4A1</v>
      </c>
      <c r="D93" s="50" t="str">
        <f>IFERROR(INDEX($L$2:$Q$362,MATCH(89,$V$2:$V$362,0),3),"")</f>
        <v>Сталкер</v>
      </c>
      <c r="E93" s="47" t="str">
        <f>IFERROR(INDEX($L$2:$Q$362,MATCH(89,$V$2:$V$362,0),4),"")</f>
        <v>Автоматы</v>
      </c>
      <c r="I93" s="46"/>
      <c r="L93" s="41">
        <f>'Бартер оружие'!A640</f>
        <v>92</v>
      </c>
      <c r="M93" s="41" t="str">
        <f>'Бартер оружие'!C640</f>
        <v>ПП-2000</v>
      </c>
      <c r="N93" s="41" t="str">
        <f>'Бартер оружие'!D640</f>
        <v>Сталкер</v>
      </c>
      <c r="O93" s="41" t="str">
        <f>'Бартер оружие'!E640</f>
        <v>Пистолеты-пулеметы</v>
      </c>
      <c r="P93" s="41" t="str">
        <f t="shared" si="4"/>
        <v>Оружие</v>
      </c>
      <c r="Q93" s="42">
        <f>IF(ISNUMBER('Бартер оружие'!G645), 'Бартер оружие'!G645, "")</f>
        <v>48200</v>
      </c>
      <c r="R93" s="43">
        <v>2</v>
      </c>
      <c r="S93" s="41" t="s">
        <v>168</v>
      </c>
      <c r="T93" s="41" t="s">
        <v>543</v>
      </c>
      <c r="U93" s="44">
        <f t="shared" si="3"/>
        <v>1</v>
      </c>
      <c r="V93" s="44">
        <f>IF(U93=1,SUM($U$2:U93),"")</f>
        <v>92</v>
      </c>
    </row>
    <row r="94" spans="2:22">
      <c r="B94" s="47">
        <f>IFERROR(IF(MATCH(90,$V$2:$V$362,0)&gt;0,90,""),"")</f>
        <v>90</v>
      </c>
      <c r="C94" s="6" t="str">
        <f>IFERROR(INDEX($L$2:$Q$362,MATCH(90,$V$2:$V$362,0),2),"")</f>
        <v>Поношенный L86A1</v>
      </c>
      <c r="D94" s="50" t="str">
        <f>IFERROR(INDEX($L$2:$Q$362,MATCH(90,$V$2:$V$362,0),3),"")</f>
        <v>Сталкер</v>
      </c>
      <c r="E94" s="47" t="str">
        <f>IFERROR(INDEX($L$2:$Q$362,MATCH(90,$V$2:$V$362,0),4),"")</f>
        <v>Пулеметы</v>
      </c>
      <c r="I94" s="46"/>
      <c r="L94" s="41">
        <f>'Бартер оружие'!A647</f>
        <v>93</v>
      </c>
      <c r="M94" s="41" t="str">
        <f>'Бартер оружие'!C647</f>
        <v>ТОЗ-34</v>
      </c>
      <c r="N94" s="41" t="str">
        <f>'Бартер оружие'!D647</f>
        <v>Сталкер</v>
      </c>
      <c r="O94" s="41" t="str">
        <f>'Бартер оружие'!E647</f>
        <v>Дробовики и ружья</v>
      </c>
      <c r="P94" s="41" t="str">
        <f t="shared" si="4"/>
        <v>Оружие</v>
      </c>
      <c r="Q94" s="42">
        <f>IF(ISNUMBER('Бартер оружие'!G652), 'Бартер оружие'!G652, "")</f>
        <v>45000</v>
      </c>
      <c r="R94" s="43">
        <v>2</v>
      </c>
      <c r="S94" s="41" t="s">
        <v>169</v>
      </c>
      <c r="T94" s="41" t="s">
        <v>544</v>
      </c>
      <c r="U94" s="44">
        <f t="shared" si="3"/>
        <v>1</v>
      </c>
      <c r="V94" s="44">
        <f>IF(U94=1,SUM($U$2:U94),"")</f>
        <v>93</v>
      </c>
    </row>
    <row r="95" spans="2:22">
      <c r="B95" s="47">
        <f>IFERROR(IF(MATCH(91,$V$2:$V$362,0)&gt;0,91,""),"")</f>
        <v>91</v>
      </c>
      <c r="C95" s="6" t="str">
        <f>IFERROR(INDEX($L$2:$Q$362,MATCH(91,$V$2:$V$362,0),2),"")</f>
        <v>АЕК-919К «Каштан»</v>
      </c>
      <c r="D95" s="50" t="str">
        <f>IFERROR(INDEX($L$2:$Q$362,MATCH(91,$V$2:$V$362,0),3),"")</f>
        <v>Сталкер</v>
      </c>
      <c r="E95" s="47" t="str">
        <f>IFERROR(INDEX($L$2:$Q$362,MATCH(91,$V$2:$V$362,0),4),"")</f>
        <v>Пистолеты-пулеметы</v>
      </c>
      <c r="I95" s="46"/>
      <c r="L95" s="41">
        <f>'Бартер оружие'!A654</f>
        <v>94</v>
      </c>
      <c r="M95" s="41" t="str">
        <f>'Бартер оружие'!C654</f>
        <v>Spectre M4</v>
      </c>
      <c r="N95" s="41" t="str">
        <f>'Бартер оружие'!D654</f>
        <v>Сталкер</v>
      </c>
      <c r="O95" s="41" t="str">
        <f>'Бартер оружие'!E654</f>
        <v>Пистолеты-пулеметы</v>
      </c>
      <c r="P95" s="41" t="str">
        <f t="shared" si="4"/>
        <v>Оружие</v>
      </c>
      <c r="Q95" s="42">
        <f>IF(ISNUMBER('Бартер оружие'!G659), 'Бартер оружие'!G659, "")</f>
        <v>48500</v>
      </c>
      <c r="R95" s="43">
        <v>2</v>
      </c>
      <c r="S95" s="41" t="s">
        <v>170</v>
      </c>
      <c r="T95" s="41" t="s">
        <v>545</v>
      </c>
      <c r="U95" s="44">
        <f t="shared" si="3"/>
        <v>1</v>
      </c>
      <c r="V95" s="44">
        <f>IF(U95=1,SUM($U$2:U95),"")</f>
        <v>94</v>
      </c>
    </row>
    <row r="96" spans="2:22">
      <c r="B96" s="47">
        <f>IFERROR(IF(MATCH(92,$V$2:$V$362,0)&gt;0,92,""),"")</f>
        <v>92</v>
      </c>
      <c r="C96" s="6" t="str">
        <f>IFERROR(INDEX($L$2:$Q$362,MATCH(92,$V$2:$V$362,0),2),"")</f>
        <v>ПП-2000</v>
      </c>
      <c r="D96" s="50" t="str">
        <f>IFERROR(INDEX($L$2:$Q$362,MATCH(92,$V$2:$V$362,0),3),"")</f>
        <v>Сталкер</v>
      </c>
      <c r="E96" s="47" t="str">
        <f>IFERROR(INDEX($L$2:$Q$362,MATCH(92,$V$2:$V$362,0),4),"")</f>
        <v>Пистолеты-пулеметы</v>
      </c>
      <c r="I96" s="46"/>
      <c r="L96" s="41">
        <f>'Бартер оружие'!A661</f>
        <v>95</v>
      </c>
      <c r="M96" s="41" t="str">
        <f>'Бартер оружие'!C661</f>
        <v>ИЖ-81</v>
      </c>
      <c r="N96" s="41" t="str">
        <f>'Бартер оружие'!D661</f>
        <v>Сталкер</v>
      </c>
      <c r="O96" s="41" t="str">
        <f>'Бартер оружие'!E661</f>
        <v>Дробовики и ружья</v>
      </c>
      <c r="P96" s="41" t="str">
        <f t="shared" si="4"/>
        <v>Оружие</v>
      </c>
      <c r="Q96" s="42">
        <f>IF(ISNUMBER('Бартер оружие'!G666), 'Бартер оружие'!G666, "")</f>
        <v>45000</v>
      </c>
      <c r="R96" s="43">
        <v>2</v>
      </c>
      <c r="S96" s="41" t="s">
        <v>169</v>
      </c>
      <c r="T96" s="41" t="s">
        <v>546</v>
      </c>
      <c r="U96" s="44">
        <f t="shared" si="3"/>
        <v>1</v>
      </c>
      <c r="V96" s="44">
        <f>IF(U96=1,SUM($U$2:U96),"")</f>
        <v>95</v>
      </c>
    </row>
    <row r="97" spans="2:22">
      <c r="B97" s="47">
        <f>IFERROR(IF(MATCH(93,$V$2:$V$362,0)&gt;0,93,""),"")</f>
        <v>93</v>
      </c>
      <c r="C97" s="6" t="str">
        <f>IFERROR(INDEX($L$2:$Q$362,MATCH(93,$V$2:$V$362,0),2),"")</f>
        <v>ТОЗ-34</v>
      </c>
      <c r="D97" s="50" t="str">
        <f>IFERROR(INDEX($L$2:$Q$362,MATCH(93,$V$2:$V$362,0),3),"")</f>
        <v>Сталкер</v>
      </c>
      <c r="E97" s="47" t="str">
        <f>IFERROR(INDEX($L$2:$Q$362,MATCH(93,$V$2:$V$362,0),4),"")</f>
        <v>Дробовики и ружья</v>
      </c>
      <c r="I97" s="46"/>
      <c r="L97" s="41">
        <f>'Бартер оружие'!A668</f>
        <v>96</v>
      </c>
      <c r="M97" s="41" t="str">
        <f>'Бартер оружие'!C668</f>
        <v>Mossberg 590A1</v>
      </c>
      <c r="N97" s="41" t="str">
        <f>'Бартер оружие'!D668</f>
        <v>Сталкер</v>
      </c>
      <c r="O97" s="41" t="str">
        <f>'Бартер оружие'!E668</f>
        <v>Дробовики и ружья</v>
      </c>
      <c r="P97" s="41" t="str">
        <f t="shared" si="4"/>
        <v>Оружие</v>
      </c>
      <c r="Q97" s="42">
        <f>IF(ISNUMBER('Бартер оружие'!G673), 'Бартер оружие'!G673, "")</f>
        <v>45000</v>
      </c>
      <c r="R97" s="43">
        <v>2</v>
      </c>
      <c r="S97" s="41" t="s">
        <v>171</v>
      </c>
      <c r="T97" s="41" t="s">
        <v>547</v>
      </c>
      <c r="U97" s="44">
        <f t="shared" si="3"/>
        <v>1</v>
      </c>
      <c r="V97" s="44">
        <f>IF(U97=1,SUM($U$2:U97),"")</f>
        <v>96</v>
      </c>
    </row>
    <row r="98" spans="2:22">
      <c r="B98" s="47">
        <f>IFERROR(IF(MATCH(94,$V$2:$V$362,0)&gt;0,94,""),"")</f>
        <v>94</v>
      </c>
      <c r="C98" s="6" t="str">
        <f>IFERROR(INDEX($L$2:$Q$362,MATCH(94,$V$2:$V$362,0),2),"")</f>
        <v>Spectre M4</v>
      </c>
      <c r="D98" s="50" t="str">
        <f>IFERROR(INDEX($L$2:$Q$362,MATCH(94,$V$2:$V$362,0),3),"")</f>
        <v>Сталкер</v>
      </c>
      <c r="E98" s="47" t="str">
        <f>IFERROR(INDEX($L$2:$Q$362,MATCH(94,$V$2:$V$362,0),4),"")</f>
        <v>Пистолеты-пулеметы</v>
      </c>
      <c r="I98" s="46"/>
      <c r="L98" s="41">
        <f>'Бартер оружие'!A675</f>
        <v>97</v>
      </c>
      <c r="M98" s="41" t="str">
        <f>'Бартер оружие'!C675</f>
        <v>СВТ-40</v>
      </c>
      <c r="N98" s="41" t="str">
        <f>'Бартер оружие'!D675</f>
        <v>Сталкер</v>
      </c>
      <c r="O98" s="41" t="str">
        <f>'Бартер оружие'!E675</f>
        <v>Снайперские винтовки</v>
      </c>
      <c r="P98" s="41" t="str">
        <f t="shared" si="4"/>
        <v>Оружие</v>
      </c>
      <c r="Q98" s="42">
        <f>IF(ISNUMBER('Бартер оружие'!G680), 'Бартер оружие'!G680, "")</f>
        <v>35700</v>
      </c>
      <c r="R98" s="43">
        <v>2</v>
      </c>
      <c r="S98" s="41" t="s">
        <v>172</v>
      </c>
      <c r="T98" s="41" t="s">
        <v>548</v>
      </c>
      <c r="U98" s="44">
        <f t="shared" si="3"/>
        <v>1</v>
      </c>
      <c r="V98" s="44">
        <f>IF(U98=1,SUM($U$2:U98),"")</f>
        <v>97</v>
      </c>
    </row>
    <row r="99" spans="2:22">
      <c r="B99" s="47">
        <f>IFERROR(IF(MATCH(95,$V$2:$V$362,0)&gt;0,95,""),"")</f>
        <v>95</v>
      </c>
      <c r="C99" s="6" t="str">
        <f>IFERROR(INDEX($L$2:$Q$362,MATCH(95,$V$2:$V$362,0),2),"")</f>
        <v>ИЖ-81</v>
      </c>
      <c r="D99" s="50" t="str">
        <f>IFERROR(INDEX($L$2:$Q$362,MATCH(95,$V$2:$V$362,0),3),"")</f>
        <v>Сталкер</v>
      </c>
      <c r="E99" s="47" t="str">
        <f>IFERROR(INDEX($L$2:$Q$362,MATCH(95,$V$2:$V$362,0),4),"")</f>
        <v>Дробовики и ружья</v>
      </c>
      <c r="I99" s="46"/>
      <c r="L99" s="41">
        <f>'Бартер оружие'!A682</f>
        <v>98</v>
      </c>
      <c r="M99" s="41" t="str">
        <f>'Бартер оружие'!C682</f>
        <v>СКС-Т</v>
      </c>
      <c r="N99" s="41" t="str">
        <f>'Бартер оружие'!D682</f>
        <v>Сталкер</v>
      </c>
      <c r="O99" s="41" t="str">
        <f>'Бартер оружие'!E682</f>
        <v>Снайперские винтовки</v>
      </c>
      <c r="P99" s="41" t="str">
        <f t="shared" si="4"/>
        <v>Оружие</v>
      </c>
      <c r="Q99" s="42">
        <f>IF(ISNUMBER('Бартер оружие'!G687), 'Бартер оружие'!G687, "")</f>
        <v>35700</v>
      </c>
      <c r="R99" s="43">
        <v>2</v>
      </c>
      <c r="S99" s="41" t="s">
        <v>173</v>
      </c>
      <c r="T99" s="41" t="s">
        <v>549</v>
      </c>
      <c r="U99" s="44">
        <f t="shared" si="3"/>
        <v>1</v>
      </c>
      <c r="V99" s="44">
        <f>IF(U99=1,SUM($U$2:U99),"")</f>
        <v>98</v>
      </c>
    </row>
    <row r="100" spans="2:22">
      <c r="B100" s="47">
        <f>IFERROR(IF(MATCH(96,$V$2:$V$362,0)&gt;0,96,""),"")</f>
        <v>96</v>
      </c>
      <c r="C100" s="6" t="str">
        <f>IFERROR(INDEX($L$2:$Q$362,MATCH(96,$V$2:$V$362,0),2),"")</f>
        <v>Mossberg 590A1</v>
      </c>
      <c r="D100" s="50" t="str">
        <f>IFERROR(INDEX($L$2:$Q$362,MATCH(96,$V$2:$V$362,0),3),"")</f>
        <v>Сталкер</v>
      </c>
      <c r="E100" s="47" t="str">
        <f>IFERROR(INDEX($L$2:$Q$362,MATCH(96,$V$2:$V$362,0),4),"")</f>
        <v>Дробовики и ружья</v>
      </c>
      <c r="I100" s="46"/>
      <c r="L100" s="41">
        <f>'Бартер оружие'!A689</f>
        <v>99</v>
      </c>
      <c r="M100" s="41" t="str">
        <f>'Бартер оружие'!C689</f>
        <v>Winchester M70</v>
      </c>
      <c r="N100" s="41" t="str">
        <f>'Бартер оружие'!D689</f>
        <v>Сталкер</v>
      </c>
      <c r="O100" s="41" t="str">
        <f>'Бартер оружие'!E689</f>
        <v>Снайперские винтовки</v>
      </c>
      <c r="P100" s="41" t="str">
        <f t="shared" si="4"/>
        <v>Оружие</v>
      </c>
      <c r="Q100" s="42">
        <f>IF(ISNUMBER('Бартер оружие'!G694), 'Бартер оружие'!G694, "")</f>
        <v>35700</v>
      </c>
      <c r="R100" s="43">
        <v>2</v>
      </c>
      <c r="S100" s="41" t="s">
        <v>174</v>
      </c>
      <c r="T100" s="41" t="s">
        <v>550</v>
      </c>
      <c r="U100" s="44">
        <f t="shared" si="3"/>
        <v>1</v>
      </c>
      <c r="V100" s="44">
        <f>IF(U100=1,SUM($U$2:U100),"")</f>
        <v>99</v>
      </c>
    </row>
    <row r="101" spans="2:22">
      <c r="B101" s="47">
        <f>IFERROR(IF(MATCH(97,$V$2:$V$362,0)&gt;0,97,""),"")</f>
        <v>97</v>
      </c>
      <c r="C101" s="6" t="str">
        <f>IFERROR(INDEX($L$2:$Q$362,MATCH(97,$V$2:$V$362,0),2),"")</f>
        <v>СВТ-40</v>
      </c>
      <c r="D101" s="50" t="str">
        <f>IFERROR(INDEX($L$2:$Q$362,MATCH(97,$V$2:$V$362,0),3),"")</f>
        <v>Сталкер</v>
      </c>
      <c r="E101" s="47" t="str">
        <f>IFERROR(INDEX($L$2:$Q$362,MATCH(97,$V$2:$V$362,0),4),"")</f>
        <v>Снайперские винтовки</v>
      </c>
      <c r="I101" s="46"/>
      <c r="L101" s="41">
        <f>'Бартер оружие'!A696</f>
        <v>100</v>
      </c>
      <c r="M101" s="41" t="str">
        <f>'Бартер оружие'!C696</f>
        <v>Тактический нож Ka-Bar BKR3</v>
      </c>
      <c r="N101" s="41" t="str">
        <f>'Бартер оружие'!D696</f>
        <v>Сталкер</v>
      </c>
      <c r="O101" s="41" t="str">
        <f>'Бартер оружие'!E696</f>
        <v>Ближний бой</v>
      </c>
      <c r="P101" s="41" t="str">
        <f t="shared" si="4"/>
        <v>Оружие</v>
      </c>
      <c r="Q101" s="42">
        <f>IF(ISNUMBER('Бартер оружие'!G701), 'Бартер оружие'!G701, "")</f>
        <v>18000</v>
      </c>
      <c r="R101" s="43">
        <v>2</v>
      </c>
      <c r="S101" s="41" t="s">
        <v>175</v>
      </c>
      <c r="T101" s="41" t="s">
        <v>551</v>
      </c>
      <c r="U101" s="44">
        <f t="shared" si="3"/>
        <v>1</v>
      </c>
      <c r="V101" s="44">
        <f>IF(U101=1,SUM($U$2:U101),"")</f>
        <v>100</v>
      </c>
    </row>
    <row r="102" spans="2:22">
      <c r="B102" s="47">
        <f>IFERROR(IF(MATCH(98,$V$2:$V$362,0)&gt;0,98,""),"")</f>
        <v>98</v>
      </c>
      <c r="C102" s="6" t="str">
        <f>IFERROR(INDEX($L$2:$Q$362,MATCH(98,$V$2:$V$362,0),2),"")</f>
        <v>СКС-Т</v>
      </c>
      <c r="D102" s="50" t="str">
        <f>IFERROR(INDEX($L$2:$Q$362,MATCH(98,$V$2:$V$362,0),3),"")</f>
        <v>Сталкер</v>
      </c>
      <c r="E102" s="47" t="str">
        <f>IFERROR(INDEX($L$2:$Q$362,MATCH(98,$V$2:$V$362,0),4),"")</f>
        <v>Снайперские винтовки</v>
      </c>
      <c r="I102" s="46"/>
      <c r="L102" s="41">
        <f>'Бартер оружие'!A703</f>
        <v>101</v>
      </c>
      <c r="M102" s="41" t="str">
        <f>'Бартер оружие'!C703</f>
        <v>Монтировка</v>
      </c>
      <c r="N102" s="41" t="str">
        <f>'Бартер оружие'!D703</f>
        <v>Сталкер</v>
      </c>
      <c r="O102" s="41" t="str">
        <f>'Бартер оружие'!E703</f>
        <v>Ближний бой</v>
      </c>
      <c r="P102" s="41" t="str">
        <f t="shared" ref="P102:P129" si="5">"Оружие"</f>
        <v>Оружие</v>
      </c>
      <c r="Q102" s="42">
        <f>IF(ISNUMBER('Бартер оружие'!G708), 'Бартер оружие'!G708, "")</f>
        <v>6170</v>
      </c>
      <c r="R102" s="43">
        <v>1</v>
      </c>
      <c r="S102" s="41"/>
      <c r="T102" s="41" t="s">
        <v>552</v>
      </c>
      <c r="U102" s="44">
        <f t="shared" si="3"/>
        <v>1</v>
      </c>
      <c r="V102" s="44">
        <f>IF(U102=1,SUM($U$2:U102),"")</f>
        <v>101</v>
      </c>
    </row>
    <row r="103" spans="2:22">
      <c r="B103" s="47">
        <f>IFERROR(IF(MATCH(99,$V$2:$V$362,0)&gt;0,99,""),"")</f>
        <v>99</v>
      </c>
      <c r="C103" s="6" t="str">
        <f>IFERROR(INDEX($L$2:$Q$362,MATCH(99,$V$2:$V$362,0),2),"")</f>
        <v>Winchester M70</v>
      </c>
      <c r="D103" s="50" t="str">
        <f>IFERROR(INDEX($L$2:$Q$362,MATCH(99,$V$2:$V$362,0),3),"")</f>
        <v>Сталкер</v>
      </c>
      <c r="E103" s="47" t="str">
        <f>IFERROR(INDEX($L$2:$Q$362,MATCH(99,$V$2:$V$362,0),4),"")</f>
        <v>Снайперские винтовки</v>
      </c>
      <c r="I103" s="46"/>
      <c r="L103" s="41">
        <f>'Бартер оружие'!A710</f>
        <v>102</v>
      </c>
      <c r="M103" s="41" t="str">
        <f>'Бартер оружие'!C710</f>
        <v>Glock Feldmesser 78</v>
      </c>
      <c r="N103" s="41" t="str">
        <f>'Бартер оружие'!D710</f>
        <v>Сталкер</v>
      </c>
      <c r="O103" s="41" t="str">
        <f>'Бартер оружие'!E710</f>
        <v>Ближний бой</v>
      </c>
      <c r="P103" s="41" t="str">
        <f t="shared" si="5"/>
        <v>Оружие</v>
      </c>
      <c r="Q103" s="42">
        <f>IF(ISNUMBER('Бартер оружие'!G715), 'Бартер оружие'!G715, "")</f>
        <v>6170</v>
      </c>
      <c r="R103" s="43">
        <v>1</v>
      </c>
      <c r="S103" s="41"/>
      <c r="T103" s="41" t="s">
        <v>553</v>
      </c>
      <c r="U103" s="44">
        <f t="shared" si="3"/>
        <v>1</v>
      </c>
      <c r="V103" s="44">
        <f>IF(U103=1,SUM($U$2:U103),"")</f>
        <v>102</v>
      </c>
    </row>
    <row r="104" spans="2:22">
      <c r="B104" s="47">
        <f>IFERROR(IF(MATCH(100,$V$2:$V$362,0)&gt;0,100,""),"")</f>
        <v>100</v>
      </c>
      <c r="C104" s="6" t="str">
        <f>IFERROR(INDEX($L$2:$Q$362,MATCH(100,$V$2:$V$362,0),2),"")</f>
        <v>Тактический нож Ka-Bar BKR3</v>
      </c>
      <c r="D104" s="50" t="str">
        <f>IFERROR(INDEX($L$2:$Q$362,MATCH(100,$V$2:$V$362,0),3),"")</f>
        <v>Сталкер</v>
      </c>
      <c r="E104" s="47" t="str">
        <f>IFERROR(INDEX($L$2:$Q$362,MATCH(100,$V$2:$V$362,0),4),"")</f>
        <v>Ближний бой</v>
      </c>
      <c r="I104" s="46"/>
      <c r="L104" s="41">
        <f>'Бартер оружие'!A717</f>
        <v>103</v>
      </c>
      <c r="M104" s="41" t="str">
        <f>'Бартер оружие'!C717</f>
        <v>Форт-12</v>
      </c>
      <c r="N104" s="41" t="str">
        <f>'Бартер оружие'!D717</f>
        <v>Сталкер</v>
      </c>
      <c r="O104" s="41" t="str">
        <f>'Бартер оружие'!E717</f>
        <v>Пистолеты</v>
      </c>
      <c r="P104" s="41" t="str">
        <f t="shared" si="5"/>
        <v>Оружие</v>
      </c>
      <c r="Q104" s="42">
        <f>IF(ISNUMBER('Бартер оружие'!G722), 'Бартер оружие'!G722, "")</f>
        <v>8210</v>
      </c>
      <c r="R104" s="43">
        <v>2</v>
      </c>
      <c r="S104" s="41" t="s">
        <v>178</v>
      </c>
      <c r="T104" s="41" t="s">
        <v>554</v>
      </c>
      <c r="U104" s="44">
        <f t="shared" si="3"/>
        <v>1</v>
      </c>
      <c r="V104" s="44">
        <f>IF(U104=1,SUM($U$2:U104),"")</f>
        <v>103</v>
      </c>
    </row>
    <row r="105" spans="2:22">
      <c r="B105" s="47">
        <f>IFERROR(IF(MATCH(101,$V$2:$V$362,0)&gt;0,101,""),"")</f>
        <v>101</v>
      </c>
      <c r="C105" s="6" t="str">
        <f>IFERROR(INDEX($L$2:$Q$362,MATCH(101,$V$2:$V$362,0),2),"")</f>
        <v>Монтировка</v>
      </c>
      <c r="D105" s="50" t="str">
        <f>IFERROR(INDEX($L$2:$Q$362,MATCH(101,$V$2:$V$362,0),3),"")</f>
        <v>Сталкер</v>
      </c>
      <c r="E105" s="47" t="str">
        <f>IFERROR(INDEX($L$2:$Q$362,MATCH(101,$V$2:$V$362,0),4),"")</f>
        <v>Ближний бой</v>
      </c>
      <c r="I105" s="46"/>
      <c r="L105" s="41">
        <f>'Бартер оружие'!A724</f>
        <v>104</v>
      </c>
      <c r="M105" s="41" t="str">
        <f>'Бартер оружие'!C724</f>
        <v>Browning Hi-Power</v>
      </c>
      <c r="N105" s="41" t="str">
        <f>'Бартер оружие'!D724</f>
        <v>Сталкер</v>
      </c>
      <c r="O105" s="41" t="str">
        <f>'Бартер оружие'!E724</f>
        <v>Пистолеты</v>
      </c>
      <c r="P105" s="41" t="str">
        <f t="shared" si="5"/>
        <v>Оружие</v>
      </c>
      <c r="Q105" s="42">
        <f>IF(ISNUMBER('Бартер оружие'!G729), 'Бартер оружие'!G729, "")</f>
        <v>8210</v>
      </c>
      <c r="R105" s="43">
        <v>2</v>
      </c>
      <c r="S105" s="41" t="s">
        <v>178</v>
      </c>
      <c r="T105" s="41" t="s">
        <v>555</v>
      </c>
      <c r="U105" s="44">
        <f t="shared" si="3"/>
        <v>1</v>
      </c>
      <c r="V105" s="44">
        <f>IF(U105=1,SUM($U$2:U105),"")</f>
        <v>104</v>
      </c>
    </row>
    <row r="106" spans="2:22">
      <c r="B106" s="47">
        <f>IFERROR(IF(MATCH(102,$V$2:$V$362,0)&gt;0,102,""),"")</f>
        <v>102</v>
      </c>
      <c r="C106" s="6" t="str">
        <f>IFERROR(INDEX($L$2:$Q$362,MATCH(102,$V$2:$V$362,0),2),"")</f>
        <v>Glock Feldmesser 78</v>
      </c>
      <c r="D106" s="50" t="str">
        <f>IFERROR(INDEX($L$2:$Q$362,MATCH(102,$V$2:$V$362,0),3),"")</f>
        <v>Сталкер</v>
      </c>
      <c r="E106" s="47" t="str">
        <f>IFERROR(INDEX($L$2:$Q$362,MATCH(102,$V$2:$V$362,0),4),"")</f>
        <v>Ближний бой</v>
      </c>
      <c r="I106" s="46"/>
      <c r="L106" s="41">
        <f>'Бартер оружие'!A731</f>
        <v>105</v>
      </c>
      <c r="M106" s="41" t="str">
        <f>'Бартер оружие'!C731</f>
        <v>Walther P99</v>
      </c>
      <c r="N106" s="41" t="str">
        <f>'Бартер оружие'!D731</f>
        <v>Сталкер</v>
      </c>
      <c r="O106" s="41" t="str">
        <f>'Бартер оружие'!E731</f>
        <v>Пистолеты</v>
      </c>
      <c r="P106" s="41" t="str">
        <f t="shared" si="5"/>
        <v>Оружие</v>
      </c>
      <c r="Q106" s="42">
        <f>IF(ISNUMBER('Бартер оружие'!G736), 'Бартер оружие'!G736, "")</f>
        <v>8210</v>
      </c>
      <c r="R106" s="43">
        <v>2</v>
      </c>
      <c r="S106" s="41" t="s">
        <v>178</v>
      </c>
      <c r="T106" s="41" t="s">
        <v>556</v>
      </c>
      <c r="U106" s="44">
        <f t="shared" si="3"/>
        <v>1</v>
      </c>
      <c r="V106" s="44">
        <f>IF(U106=1,SUM($U$2:U106),"")</f>
        <v>105</v>
      </c>
    </row>
    <row r="107" spans="2:22">
      <c r="B107" s="47">
        <f>IFERROR(IF(MATCH(103,$V$2:$V$362,0)&gt;0,103,""),"")</f>
        <v>103</v>
      </c>
      <c r="C107" s="6" t="str">
        <f>IFERROR(INDEX($L$2:$Q$362,MATCH(103,$V$2:$V$362,0),2),"")</f>
        <v>Форт-12</v>
      </c>
      <c r="D107" s="50" t="str">
        <f>IFERROR(INDEX($L$2:$Q$362,MATCH(103,$V$2:$V$362,0),3),"")</f>
        <v>Сталкер</v>
      </c>
      <c r="E107" s="47" t="str">
        <f>IFERROR(INDEX($L$2:$Q$362,MATCH(103,$V$2:$V$362,0),4),"")</f>
        <v>Пистолеты</v>
      </c>
      <c r="I107" s="46"/>
      <c r="L107" s="41">
        <f>'Бартер оружие'!A738</f>
        <v>106</v>
      </c>
      <c r="M107" s="41" t="str">
        <f>'Бартер оружие'!C738</f>
        <v>Охотничий нож</v>
      </c>
      <c r="N107" s="41" t="str">
        <f>'Бартер оружие'!D738</f>
        <v>Сталкер</v>
      </c>
      <c r="O107" s="41" t="str">
        <f>'Бартер оружие'!E738</f>
        <v>Ближний бой</v>
      </c>
      <c r="P107" s="41" t="str">
        <f t="shared" si="5"/>
        <v>Оружие</v>
      </c>
      <c r="Q107" s="42">
        <f>IF(ISNUMBER('Бартер оружие'!G743), 'Бартер оружие'!G743, "")</f>
        <v>5090</v>
      </c>
      <c r="R107" s="43">
        <v>2</v>
      </c>
      <c r="S107" s="41" t="s">
        <v>179</v>
      </c>
      <c r="T107" s="41" t="s">
        <v>557</v>
      </c>
      <c r="U107" s="44">
        <f t="shared" si="3"/>
        <v>1</v>
      </c>
      <c r="V107" s="44">
        <f>IF(U107=1,SUM($U$2:U107),"")</f>
        <v>106</v>
      </c>
    </row>
    <row r="108" spans="2:22">
      <c r="B108" s="47">
        <f>IFERROR(IF(MATCH(104,$V$2:$V$362,0)&gt;0,104,""),"")</f>
        <v>104</v>
      </c>
      <c r="C108" s="6" t="str">
        <f>IFERROR(INDEX($L$2:$Q$362,MATCH(104,$V$2:$V$362,0),2),"")</f>
        <v>Browning Hi-Power</v>
      </c>
      <c r="D108" s="50" t="str">
        <f>IFERROR(INDEX($L$2:$Q$362,MATCH(104,$V$2:$V$362,0),3),"")</f>
        <v>Сталкер</v>
      </c>
      <c r="E108" s="47" t="str">
        <f>IFERROR(INDEX($L$2:$Q$362,MATCH(104,$V$2:$V$362,0),4),"")</f>
        <v>Пистолеты</v>
      </c>
      <c r="I108" s="46"/>
      <c r="L108" s="41">
        <f>'Бартер оружие'!A745</f>
        <v>107</v>
      </c>
      <c r="M108" s="41" t="str">
        <f>'Бартер оружие'!C745</f>
        <v>«Гепард»</v>
      </c>
      <c r="N108" s="41" t="str">
        <f>'Бартер оружие'!D745</f>
        <v>Новичок</v>
      </c>
      <c r="O108" s="41" t="str">
        <f>'Бартер оружие'!E745</f>
        <v>Пистолеты-пулеметы</v>
      </c>
      <c r="P108" s="41" t="str">
        <f t="shared" si="5"/>
        <v>Оружие</v>
      </c>
      <c r="Q108" s="42">
        <f>IF(ISNUMBER('Бартер оружие'!G750), 'Бартер оружие'!G750, "")</f>
        <v>7800</v>
      </c>
      <c r="R108" s="43">
        <v>2</v>
      </c>
      <c r="S108" s="41" t="s">
        <v>181</v>
      </c>
      <c r="T108" s="41" t="s">
        <v>558</v>
      </c>
      <c r="U108" s="44">
        <f t="shared" si="3"/>
        <v>1</v>
      </c>
      <c r="V108" s="44">
        <f>IF(U108=1,SUM($U$2:U108),"")</f>
        <v>107</v>
      </c>
    </row>
    <row r="109" spans="2:22">
      <c r="B109" s="47">
        <f>IFERROR(IF(MATCH(105,$V$2:$V$362,0)&gt;0,105,""),"")</f>
        <v>105</v>
      </c>
      <c r="C109" s="6" t="str">
        <f>IFERROR(INDEX($L$2:$Q$362,MATCH(105,$V$2:$V$362,0),2),"")</f>
        <v>Walther P99</v>
      </c>
      <c r="D109" s="50" t="str">
        <f>IFERROR(INDEX($L$2:$Q$362,MATCH(105,$V$2:$V$362,0),3),"")</f>
        <v>Сталкер</v>
      </c>
      <c r="E109" s="47" t="str">
        <f>IFERROR(INDEX($L$2:$Q$362,MATCH(105,$V$2:$V$362,0),4),"")</f>
        <v>Пистолеты</v>
      </c>
      <c r="I109" s="46"/>
      <c r="L109" s="41">
        <f>'Бартер оружие'!A752</f>
        <v>108</v>
      </c>
      <c r="M109" s="41" t="str">
        <f>'Бартер оружие'!C752</f>
        <v>IMI Uzi</v>
      </c>
      <c r="N109" s="41" t="str">
        <f>'Бартер оружие'!D752</f>
        <v>Новичок</v>
      </c>
      <c r="O109" s="41" t="str">
        <f>'Бартер оружие'!E752</f>
        <v>Пистолеты-пулеметы</v>
      </c>
      <c r="P109" s="41" t="str">
        <f t="shared" si="5"/>
        <v>Оружие</v>
      </c>
      <c r="Q109" s="42">
        <f>IF(ISNUMBER('Бартер оружие'!G757), 'Бартер оружие'!G757, "")</f>
        <v>7800</v>
      </c>
      <c r="R109" s="43">
        <v>2</v>
      </c>
      <c r="S109" s="41" t="s">
        <v>182</v>
      </c>
      <c r="T109" s="41" t="s">
        <v>559</v>
      </c>
      <c r="U109" s="44">
        <f t="shared" si="3"/>
        <v>1</v>
      </c>
      <c r="V109" s="44">
        <f>IF(U109=1,SUM($U$2:U109),"")</f>
        <v>108</v>
      </c>
    </row>
    <row r="110" spans="2:22">
      <c r="B110" s="47">
        <f>IFERROR(IF(MATCH(106,$V$2:$V$362,0)&gt;0,106,""),"")</f>
        <v>106</v>
      </c>
      <c r="C110" s="6" t="str">
        <f>IFERROR(INDEX($L$2:$Q$362,MATCH(106,$V$2:$V$362,0),2),"")</f>
        <v>Охотничий нож</v>
      </c>
      <c r="D110" s="50" t="str">
        <f>IFERROR(INDEX($L$2:$Q$362,MATCH(106,$V$2:$V$362,0),3),"")</f>
        <v>Сталкер</v>
      </c>
      <c r="E110" s="47" t="str">
        <f>IFERROR(INDEX($L$2:$Q$362,MATCH(106,$V$2:$V$362,0),4),"")</f>
        <v>Ближний бой</v>
      </c>
      <c r="I110" s="46"/>
      <c r="L110" s="41">
        <f>'Бартер оружие'!A759</f>
        <v>109</v>
      </c>
      <c r="M110" s="41" t="str">
        <f>'Бартер оружие'!C759</f>
        <v>БМ-16</v>
      </c>
      <c r="N110" s="41" t="str">
        <f>'Бартер оружие'!D759</f>
        <v>Новичок</v>
      </c>
      <c r="O110" s="41" t="str">
        <f>'Бартер оружие'!E759</f>
        <v>Дробовики и ружья</v>
      </c>
      <c r="P110" s="41" t="str">
        <f t="shared" si="5"/>
        <v>Оружие</v>
      </c>
      <c r="Q110" s="42">
        <f>IF(ISNUMBER('Бартер оружие'!G764), 'Бартер оружие'!G764, "")</f>
        <v>7250</v>
      </c>
      <c r="R110" s="43">
        <v>2</v>
      </c>
      <c r="S110" s="41" t="s">
        <v>183</v>
      </c>
      <c r="T110" s="41" t="s">
        <v>560</v>
      </c>
      <c r="U110" s="44">
        <f t="shared" si="3"/>
        <v>1</v>
      </c>
      <c r="V110" s="44">
        <f>IF(U110=1,SUM($U$2:U110),"")</f>
        <v>109</v>
      </c>
    </row>
    <row r="111" spans="2:22">
      <c r="B111" s="47">
        <f>IFERROR(IF(MATCH(107,$V$2:$V$362,0)&gt;0,107,""),"")</f>
        <v>107</v>
      </c>
      <c r="C111" s="7" t="str">
        <f>IFERROR(INDEX($L$2:$Q$362,MATCH(107,$V$2:$V$362,0),2),"")</f>
        <v>«Гепард»</v>
      </c>
      <c r="D111" s="51" t="str">
        <f>IFERROR(INDEX($L$2:$Q$362,MATCH(107,$V$2:$V$362,0),3),"")</f>
        <v>Новичок</v>
      </c>
      <c r="E111" s="47" t="str">
        <f>IFERROR(INDEX($L$2:$Q$362,MATCH(107,$V$2:$V$362,0),4),"")</f>
        <v>Пистолеты-пулеметы</v>
      </c>
      <c r="I111" s="46"/>
      <c r="L111" s="41">
        <f>'Бартер оружие'!A766</f>
        <v>110</v>
      </c>
      <c r="M111" s="41" t="str">
        <f>'Бартер оружие'!C766</f>
        <v>Mossberg 500</v>
      </c>
      <c r="N111" s="41" t="str">
        <f>'Бартер оружие'!D766</f>
        <v>Новичок</v>
      </c>
      <c r="O111" s="41" t="str">
        <f>'Бартер оружие'!E766</f>
        <v>Дробовики и ружья</v>
      </c>
      <c r="P111" s="41" t="str">
        <f t="shared" si="5"/>
        <v>Оружие</v>
      </c>
      <c r="Q111" s="42">
        <f>IF(ISNUMBER('Бартер оружие'!G771), 'Бартер оружие'!G771, "")</f>
        <v>7250</v>
      </c>
      <c r="R111" s="43">
        <v>2</v>
      </c>
      <c r="S111" s="41" t="s">
        <v>184</v>
      </c>
      <c r="T111" s="41" t="s">
        <v>561</v>
      </c>
      <c r="U111" s="44">
        <f t="shared" si="3"/>
        <v>1</v>
      </c>
      <c r="V111" s="44">
        <f>IF(U111=1,SUM($U$2:U111),"")</f>
        <v>110</v>
      </c>
    </row>
    <row r="112" spans="2:22">
      <c r="B112" s="47">
        <f>IFERROR(IF(MATCH(108,$V$2:$V$362,0)&gt;0,108,""),"")</f>
        <v>108</v>
      </c>
      <c r="C112" s="7" t="str">
        <f>IFERROR(INDEX($L$2:$Q$362,MATCH(108,$V$2:$V$362,0),2),"")</f>
        <v>IMI Uzi</v>
      </c>
      <c r="D112" s="51" t="str">
        <f>IFERROR(INDEX($L$2:$Q$362,MATCH(108,$V$2:$V$362,0),3),"")</f>
        <v>Новичок</v>
      </c>
      <c r="E112" s="47" t="str">
        <f>IFERROR(INDEX($L$2:$Q$362,MATCH(108,$V$2:$V$362,0),4),"")</f>
        <v>Пистолеты-пулеметы</v>
      </c>
      <c r="I112" s="46"/>
      <c r="L112" s="41">
        <f>'Бартер оружие'!A773</f>
        <v>111</v>
      </c>
      <c r="M112" s="41" t="str">
        <f>'Бартер оружие'!C773</f>
        <v>Поношенный Winchester M70</v>
      </c>
      <c r="N112" s="41" t="str">
        <f>'Бартер оружие'!D773</f>
        <v>Новичок</v>
      </c>
      <c r="O112" s="41" t="str">
        <f>'Бартер оружие'!E773</f>
        <v>Снайперские винтовки</v>
      </c>
      <c r="P112" s="41" t="str">
        <f t="shared" si="5"/>
        <v>Оружие</v>
      </c>
      <c r="Q112" s="42">
        <f>IF(ISNUMBER('Бартер оружие'!G778), 'Бартер оружие'!G778, "")</f>
        <v>6490</v>
      </c>
      <c r="R112" s="43">
        <v>2</v>
      </c>
      <c r="S112" s="41" t="s">
        <v>185</v>
      </c>
      <c r="T112" s="41" t="s">
        <v>562</v>
      </c>
      <c r="U112" s="44">
        <f t="shared" si="3"/>
        <v>1</v>
      </c>
      <c r="V112" s="44">
        <f>IF(U112=1,SUM($U$2:U112),"")</f>
        <v>111</v>
      </c>
    </row>
    <row r="113" spans="2:22">
      <c r="B113" s="47">
        <f>IFERROR(IF(MATCH(109,$V$2:$V$362,0)&gt;0,109,""),"")</f>
        <v>109</v>
      </c>
      <c r="C113" s="7" t="str">
        <f>IFERROR(INDEX($L$2:$Q$362,MATCH(109,$V$2:$V$362,0),2),"")</f>
        <v>БМ-16</v>
      </c>
      <c r="D113" s="51" t="str">
        <f>IFERROR(INDEX($L$2:$Q$362,MATCH(109,$V$2:$V$362,0),3),"")</f>
        <v>Новичок</v>
      </c>
      <c r="E113" s="47" t="str">
        <f>IFERROR(INDEX($L$2:$Q$362,MATCH(109,$V$2:$V$362,0),4),"")</f>
        <v>Дробовики и ружья</v>
      </c>
      <c r="I113" s="46"/>
      <c r="L113" s="41">
        <f>'Бартер оружие'!A780</f>
        <v>112</v>
      </c>
      <c r="M113" s="41" t="str">
        <f>'Бартер оружие'!C780</f>
        <v>СКС</v>
      </c>
      <c r="N113" s="41" t="str">
        <f>'Бартер оружие'!D780</f>
        <v>Новичок</v>
      </c>
      <c r="O113" s="41" t="str">
        <f>'Бартер оружие'!E780</f>
        <v>Снайперские винтовки</v>
      </c>
      <c r="P113" s="41" t="str">
        <f t="shared" si="5"/>
        <v>Оружие</v>
      </c>
      <c r="Q113" s="42">
        <f>IF(ISNUMBER('Бартер оружие'!G785), 'Бартер оружие'!G785, "")</f>
        <v>6490</v>
      </c>
      <c r="R113" s="43">
        <v>2</v>
      </c>
      <c r="S113" s="41" t="s">
        <v>185</v>
      </c>
      <c r="T113" s="41" t="s">
        <v>563</v>
      </c>
      <c r="U113" s="44">
        <f t="shared" si="3"/>
        <v>1</v>
      </c>
      <c r="V113" s="44">
        <f>IF(U113=1,SUM($U$2:U113),"")</f>
        <v>112</v>
      </c>
    </row>
    <row r="114" spans="2:22">
      <c r="B114" s="47">
        <f>IFERROR(IF(MATCH(110,$V$2:$V$362,0)&gt;0,110,""),"")</f>
        <v>110</v>
      </c>
      <c r="C114" s="7" t="str">
        <f>IFERROR(INDEX($L$2:$Q$362,MATCH(110,$V$2:$V$362,0),2),"")</f>
        <v>Mossberg 500</v>
      </c>
      <c r="D114" s="51" t="str">
        <f>IFERROR(INDEX($L$2:$Q$362,MATCH(110,$V$2:$V$362,0),3),"")</f>
        <v>Новичок</v>
      </c>
      <c r="E114" s="47" t="str">
        <f>IFERROR(INDEX($L$2:$Q$362,MATCH(110,$V$2:$V$362,0),4),"")</f>
        <v>Дробовики и ружья</v>
      </c>
      <c r="I114" s="46"/>
      <c r="L114" s="41">
        <f>'Бартер оружие'!A787</f>
        <v>113</v>
      </c>
      <c r="M114" s="41" t="str">
        <f>'Бартер оружие'!C787</f>
        <v>СКТ-40</v>
      </c>
      <c r="N114" s="41" t="str">
        <f>'Бартер оружие'!D787</f>
        <v>Новичок</v>
      </c>
      <c r="O114" s="41" t="str">
        <f>'Бартер оружие'!E787</f>
        <v>Снайперские винтовки</v>
      </c>
      <c r="P114" s="41" t="str">
        <f t="shared" si="5"/>
        <v>Оружие</v>
      </c>
      <c r="Q114" s="42">
        <f>IF(ISNUMBER('Бартер оружие'!G792), 'Бартер оружие'!G792, "")</f>
        <v>6490</v>
      </c>
      <c r="R114" s="43">
        <v>2</v>
      </c>
      <c r="S114" s="41" t="s">
        <v>185</v>
      </c>
      <c r="T114" s="41" t="s">
        <v>564</v>
      </c>
      <c r="U114" s="44">
        <f t="shared" si="3"/>
        <v>1</v>
      </c>
      <c r="V114" s="44">
        <f>IF(U114=1,SUM($U$2:U114),"")</f>
        <v>113</v>
      </c>
    </row>
    <row r="115" spans="2:22">
      <c r="B115" s="47">
        <f>IFERROR(IF(MATCH(111,$V$2:$V$362,0)&gt;0,111,""),"")</f>
        <v>111</v>
      </c>
      <c r="C115" s="7" t="str">
        <f>IFERROR(INDEX($L$2:$Q$362,MATCH(111,$V$2:$V$362,0),2),"")</f>
        <v>Поношенный Winchester M70</v>
      </c>
      <c r="D115" s="51" t="str">
        <f>IFERROR(INDEX($L$2:$Q$362,MATCH(111,$V$2:$V$362,0),3),"")</f>
        <v>Новичок</v>
      </c>
      <c r="E115" s="47" t="str">
        <f>IFERROR(INDEX($L$2:$Q$362,MATCH(111,$V$2:$V$362,0),4),"")</f>
        <v>Снайперские винтовки</v>
      </c>
      <c r="I115" s="46"/>
      <c r="L115" s="41">
        <f>'Бартер оружие'!A794</f>
        <v>114</v>
      </c>
      <c r="M115" s="41" t="str">
        <f>'Бартер оружие'!C794</f>
        <v>АК-74М</v>
      </c>
      <c r="N115" s="41" t="str">
        <f>'Бартер оружие'!D794</f>
        <v>Новичок</v>
      </c>
      <c r="O115" s="41" t="str">
        <f>'Бартер оружие'!E794</f>
        <v>Автоматы</v>
      </c>
      <c r="P115" s="41" t="str">
        <f t="shared" si="5"/>
        <v>Оружие</v>
      </c>
      <c r="Q115" s="42">
        <f>IF(ISNUMBER('Бартер оружие'!G799), 'Бартер оружие'!G799, "")</f>
        <v>6280</v>
      </c>
      <c r="R115" s="43">
        <v>2</v>
      </c>
      <c r="S115" s="41" t="s">
        <v>186</v>
      </c>
      <c r="T115" s="41" t="s">
        <v>565</v>
      </c>
      <c r="U115" s="44">
        <f t="shared" si="3"/>
        <v>1</v>
      </c>
      <c r="V115" s="44">
        <f>IF(U115=1,SUM($U$2:U115),"")</f>
        <v>114</v>
      </c>
    </row>
    <row r="116" spans="2:22">
      <c r="B116" s="47">
        <f>IFERROR(IF(MATCH(112,$V$2:$V$362,0)&gt;0,112,""),"")</f>
        <v>112</v>
      </c>
      <c r="C116" s="7" t="str">
        <f>IFERROR(INDEX($L$2:$Q$362,MATCH(112,$V$2:$V$362,0),2),"")</f>
        <v>СКС</v>
      </c>
      <c r="D116" s="51" t="str">
        <f>IFERROR(INDEX($L$2:$Q$362,MATCH(112,$V$2:$V$362,0),3),"")</f>
        <v>Новичок</v>
      </c>
      <c r="E116" s="47" t="str">
        <f>IFERROR(INDEX($L$2:$Q$362,MATCH(112,$V$2:$V$362,0),4),"")</f>
        <v>Снайперские винтовки</v>
      </c>
      <c r="I116" s="46"/>
      <c r="L116" s="41">
        <f>'Бартер оружие'!A801</f>
        <v>115</v>
      </c>
      <c r="M116" s="41" t="str">
        <f>'Бартер оружие'!C801</f>
        <v>M16A3</v>
      </c>
      <c r="N116" s="41" t="str">
        <f>'Бартер оружие'!D801</f>
        <v>Новичок</v>
      </c>
      <c r="O116" s="41" t="str">
        <f>'Бартер оружие'!E801</f>
        <v>Автоматы</v>
      </c>
      <c r="P116" s="41" t="str">
        <f t="shared" si="5"/>
        <v>Оружие</v>
      </c>
      <c r="Q116" s="42">
        <f>IF(ISNUMBER('Бартер оружие'!G806), 'Бартер оружие'!G806, "")</f>
        <v>6280</v>
      </c>
      <c r="R116" s="43">
        <v>2</v>
      </c>
      <c r="S116" s="41" t="s">
        <v>187</v>
      </c>
      <c r="T116" s="41" t="s">
        <v>566</v>
      </c>
      <c r="U116" s="44">
        <f t="shared" si="3"/>
        <v>1</v>
      </c>
      <c r="V116" s="44">
        <f>IF(U116=1,SUM($U$2:U116),"")</f>
        <v>115</v>
      </c>
    </row>
    <row r="117" spans="2:22">
      <c r="B117" s="47">
        <f>IFERROR(IF(MATCH(113,$V$2:$V$362,0)&gt;0,113,""),"")</f>
        <v>113</v>
      </c>
      <c r="C117" s="7" t="str">
        <f>IFERROR(INDEX($L$2:$Q$362,MATCH(113,$V$2:$V$362,0),2),"")</f>
        <v>СКТ-40</v>
      </c>
      <c r="D117" s="51" t="str">
        <f>IFERROR(INDEX($L$2:$Q$362,MATCH(113,$V$2:$V$362,0),3),"")</f>
        <v>Новичок</v>
      </c>
      <c r="E117" s="47" t="str">
        <f>IFERROR(INDEX($L$2:$Q$362,MATCH(113,$V$2:$V$362,0),4),"")</f>
        <v>Снайперские винтовки</v>
      </c>
      <c r="I117" s="46"/>
      <c r="L117" s="41">
        <f>'Бартер оружие'!A808</f>
        <v>116</v>
      </c>
      <c r="M117" s="41" t="str">
        <f>'Бартер оружие'!C808</f>
        <v>АКС-74</v>
      </c>
      <c r="N117" s="41" t="str">
        <f>'Бартер оружие'!D808</f>
        <v>Новичок</v>
      </c>
      <c r="O117" s="41" t="str">
        <f>'Бартер оружие'!E808</f>
        <v>Автоматы</v>
      </c>
      <c r="P117" s="41" t="str">
        <f t="shared" si="5"/>
        <v>Оружие</v>
      </c>
      <c r="Q117" s="42">
        <f>IF(ISNUMBER('Бартер оружие'!G813), 'Бартер оружие'!G813, "")</f>
        <v>2640</v>
      </c>
      <c r="R117" s="43">
        <v>1</v>
      </c>
      <c r="S117" s="41" t="s">
        <v>188</v>
      </c>
      <c r="T117" s="41" t="s">
        <v>567</v>
      </c>
      <c r="U117" s="44">
        <f t="shared" si="3"/>
        <v>1</v>
      </c>
      <c r="V117" s="44">
        <f>IF(U117=1,SUM($U$2:U117),"")</f>
        <v>116</v>
      </c>
    </row>
    <row r="118" spans="2:22">
      <c r="B118" s="47">
        <f>IFERROR(IF(MATCH(114,$V$2:$V$362,0)&gt;0,114,""),"")</f>
        <v>114</v>
      </c>
      <c r="C118" s="7" t="str">
        <f>IFERROR(INDEX($L$2:$Q$362,MATCH(114,$V$2:$V$362,0),2),"")</f>
        <v>АК-74М</v>
      </c>
      <c r="D118" s="51" t="str">
        <f>IFERROR(INDEX($L$2:$Q$362,MATCH(114,$V$2:$V$362,0),3),"")</f>
        <v>Новичок</v>
      </c>
      <c r="E118" s="47" t="str">
        <f>IFERROR(INDEX($L$2:$Q$362,MATCH(114,$V$2:$V$362,0),4),"")</f>
        <v>Автоматы</v>
      </c>
      <c r="I118" s="46"/>
      <c r="L118" s="41">
        <f>'Бартер оружие'!A815</f>
        <v>117</v>
      </c>
      <c r="M118" s="41" t="str">
        <f>'Бартер оружие'!C815</f>
        <v>M16A2</v>
      </c>
      <c r="N118" s="41" t="str">
        <f>'Бартер оружие'!D815</f>
        <v>Новичок</v>
      </c>
      <c r="O118" s="41" t="str">
        <f>'Бартер оружие'!E815</f>
        <v>Автоматы</v>
      </c>
      <c r="P118" s="41" t="str">
        <f t="shared" si="5"/>
        <v>Оружие</v>
      </c>
      <c r="Q118" s="42">
        <f>IF(ISNUMBER('Бартер оружие'!G820), 'Бартер оружие'!G820, "")</f>
        <v>2640</v>
      </c>
      <c r="R118" s="43">
        <v>1</v>
      </c>
      <c r="S118" s="41" t="s">
        <v>189</v>
      </c>
      <c r="T118" s="41" t="s">
        <v>568</v>
      </c>
      <c r="U118" s="44">
        <f t="shared" si="3"/>
        <v>1</v>
      </c>
      <c r="V118" s="44">
        <f>IF(U118=1,SUM($U$2:U118),"")</f>
        <v>117</v>
      </c>
    </row>
    <row r="119" spans="2:22">
      <c r="B119" s="47">
        <f>IFERROR(IF(MATCH(115,$V$2:$V$362,0)&gt;0,115,""),"")</f>
        <v>115</v>
      </c>
      <c r="C119" s="7" t="str">
        <f>IFERROR(INDEX($L$2:$Q$362,MATCH(115,$V$2:$V$362,0),2),"")</f>
        <v>M16A3</v>
      </c>
      <c r="D119" s="51" t="str">
        <f>IFERROR(INDEX($L$2:$Q$362,MATCH(115,$V$2:$V$362,0),3),"")</f>
        <v>Новичок</v>
      </c>
      <c r="E119" s="47" t="str">
        <f>IFERROR(INDEX($L$2:$Q$362,MATCH(115,$V$2:$V$362,0),4),"")</f>
        <v>Автоматы</v>
      </c>
      <c r="I119" s="46"/>
      <c r="L119" s="41">
        <f>'Бартер оружие'!A822</f>
        <v>118</v>
      </c>
      <c r="M119" s="41" t="str">
        <f>'Бартер оружие'!C822</f>
        <v>АКС чистильщика</v>
      </c>
      <c r="N119" s="41" t="str">
        <f>'Бартер оружие'!D822</f>
        <v>Новичок</v>
      </c>
      <c r="O119" s="41" t="str">
        <f>'Бартер оружие'!E822</f>
        <v>Автоматы</v>
      </c>
      <c r="P119" s="41" t="str">
        <f t="shared" si="5"/>
        <v>Оружие</v>
      </c>
      <c r="Q119" s="42">
        <f>IF(ISNUMBER('Бартер оружие'!G827), 'Бартер оружие'!G827, "")</f>
        <v>4500</v>
      </c>
      <c r="R119" s="43">
        <v>1</v>
      </c>
      <c r="S119" s="41" t="s">
        <v>191</v>
      </c>
      <c r="T119" s="41" t="s">
        <v>569</v>
      </c>
      <c r="U119" s="44">
        <f t="shared" si="3"/>
        <v>1</v>
      </c>
      <c r="V119" s="44">
        <f>IF(U119=1,SUM($U$2:U119),"")</f>
        <v>118</v>
      </c>
    </row>
    <row r="120" spans="2:22">
      <c r="B120" s="47">
        <f>IFERROR(IF(MATCH(116,$V$2:$V$362,0)&gt;0,116,""),"")</f>
        <v>116</v>
      </c>
      <c r="C120" s="7" t="str">
        <f>IFERROR(INDEX($L$2:$Q$362,MATCH(116,$V$2:$V$362,0),2),"")</f>
        <v>АКС-74</v>
      </c>
      <c r="D120" s="51" t="str">
        <f>IFERROR(INDEX($L$2:$Q$362,MATCH(116,$V$2:$V$362,0),3),"")</f>
        <v>Новичок</v>
      </c>
      <c r="E120" s="47" t="str">
        <f>IFERROR(INDEX($L$2:$Q$362,MATCH(116,$V$2:$V$362,0),4),"")</f>
        <v>Автоматы</v>
      </c>
      <c r="I120" s="46"/>
      <c r="L120" s="41">
        <f>'Бартер оружие'!A829</f>
        <v>119</v>
      </c>
      <c r="M120" s="41" t="str">
        <f>'Бартер оружие'!C829</f>
        <v>ПП-91 «Кедр»</v>
      </c>
      <c r="N120" s="41" t="str">
        <f>'Бартер оружие'!D829</f>
        <v>Новичок</v>
      </c>
      <c r="O120" s="41" t="str">
        <f>'Бартер оружие'!E829</f>
        <v>Пистолеты-пулеметы</v>
      </c>
      <c r="P120" s="41" t="str">
        <f t="shared" si="5"/>
        <v>Оружие</v>
      </c>
      <c r="Q120" s="42">
        <f>IF(ISNUMBER('Бартер оружие'!G834), 'Бартер оружие'!G834, "")</f>
        <v>2360</v>
      </c>
      <c r="R120" s="43">
        <v>1</v>
      </c>
      <c r="S120" s="41" t="s">
        <v>192</v>
      </c>
      <c r="T120" s="41" t="s">
        <v>570</v>
      </c>
      <c r="U120" s="44">
        <f t="shared" si="3"/>
        <v>1</v>
      </c>
      <c r="V120" s="44">
        <f>IF(U120=1,SUM($U$2:U120),"")</f>
        <v>119</v>
      </c>
    </row>
    <row r="121" spans="2:22">
      <c r="B121" s="47">
        <f>IFERROR(IF(MATCH(117,$V$2:$V$362,0)&gt;0,117,""),"")</f>
        <v>117</v>
      </c>
      <c r="C121" s="7" t="str">
        <f>IFERROR(INDEX($L$2:$Q$362,MATCH(117,$V$2:$V$362,0),2),"")</f>
        <v>M16A2</v>
      </c>
      <c r="D121" s="51" t="str">
        <f>IFERROR(INDEX($L$2:$Q$362,MATCH(117,$V$2:$V$362,0),3),"")</f>
        <v>Новичок</v>
      </c>
      <c r="E121" s="47" t="str">
        <f>IFERROR(INDEX($L$2:$Q$362,MATCH(117,$V$2:$V$362,0),4),"")</f>
        <v>Автоматы</v>
      </c>
      <c r="I121" s="46"/>
      <c r="L121" s="41">
        <f>'Бартер оружие'!A836</f>
        <v>120</v>
      </c>
      <c r="M121" s="41" t="str">
        <f>'Бартер оружие'!C836</f>
        <v>Vz.68 Škorpion</v>
      </c>
      <c r="N121" s="41" t="str">
        <f>'Бартер оружие'!D836</f>
        <v>Новичок</v>
      </c>
      <c r="O121" s="41" t="str">
        <f>'Бартер оружие'!E836</f>
        <v>Пистолеты-пулеметы</v>
      </c>
      <c r="P121" s="41" t="str">
        <f t="shared" si="5"/>
        <v>Оружие</v>
      </c>
      <c r="Q121" s="42">
        <f>IF(ISNUMBER('Бартер оружие'!G841), 'Бартер оружие'!G841, "")</f>
        <v>2360</v>
      </c>
      <c r="R121" s="43">
        <v>1</v>
      </c>
      <c r="S121" s="41" t="s">
        <v>192</v>
      </c>
      <c r="T121" s="41" t="s">
        <v>571</v>
      </c>
      <c r="U121" s="44">
        <f t="shared" si="3"/>
        <v>1</v>
      </c>
      <c r="V121" s="44">
        <f>IF(U121=1,SUM($U$2:U121),"")</f>
        <v>120</v>
      </c>
    </row>
    <row r="122" spans="2:22">
      <c r="B122" s="47">
        <f>IFERROR(IF(MATCH(118,$V$2:$V$362,0)&gt;0,118,""),"")</f>
        <v>118</v>
      </c>
      <c r="C122" s="7" t="str">
        <f>IFERROR(INDEX($L$2:$Q$362,MATCH(118,$V$2:$V$362,0),2),"")</f>
        <v>АКС чистильщика</v>
      </c>
      <c r="D122" s="51" t="str">
        <f>IFERROR(INDEX($L$2:$Q$362,MATCH(118,$V$2:$V$362,0),3),"")</f>
        <v>Новичок</v>
      </c>
      <c r="E122" s="47" t="str">
        <f>IFERROR(INDEX($L$2:$Q$362,MATCH(118,$V$2:$V$362,0),4),"")</f>
        <v>Автоматы</v>
      </c>
      <c r="I122" s="46"/>
      <c r="L122" s="41">
        <f>'Бартер оружие'!A843</f>
        <v>121</v>
      </c>
      <c r="M122" s="41" t="str">
        <f>'Бартер оружие'!C843</f>
        <v>Винтовка Мосина</v>
      </c>
      <c r="N122" s="41" t="str">
        <f>'Бартер оружие'!D843</f>
        <v>Новичок</v>
      </c>
      <c r="O122" s="41" t="str">
        <f>'Бартер оружие'!E843</f>
        <v>Снайперские винтовки</v>
      </c>
      <c r="P122" s="41" t="str">
        <f t="shared" si="5"/>
        <v>Оружие</v>
      </c>
      <c r="Q122" s="42">
        <f>IF(ISNUMBER('Бартер оружие'!G848), 'Бартер оружие'!G848, "")</f>
        <v>2250</v>
      </c>
      <c r="R122" s="43">
        <v>1</v>
      </c>
      <c r="S122" s="41" t="s">
        <v>193</v>
      </c>
      <c r="T122" s="41" t="s">
        <v>572</v>
      </c>
      <c r="U122" s="44">
        <f t="shared" si="3"/>
        <v>1</v>
      </c>
      <c r="V122" s="44">
        <f>IF(U122=1,SUM($U$2:U122),"")</f>
        <v>121</v>
      </c>
    </row>
    <row r="123" spans="2:22">
      <c r="B123" s="47">
        <f>IFERROR(IF(MATCH(119,$V$2:$V$362,0)&gt;0,119,""),"")</f>
        <v>119</v>
      </c>
      <c r="C123" s="7" t="str">
        <f>IFERROR(INDEX($L$2:$Q$362,MATCH(119,$V$2:$V$362,0),2),"")</f>
        <v>ПП-91 «Кедр»</v>
      </c>
      <c r="D123" s="51" t="str">
        <f>IFERROR(INDEX($L$2:$Q$362,MATCH(119,$V$2:$V$362,0),3),"")</f>
        <v>Новичок</v>
      </c>
      <c r="E123" s="47" t="str">
        <f>IFERROR(INDEX($L$2:$Q$362,MATCH(119,$V$2:$V$362,0),4),"")</f>
        <v>Пистолеты-пулеметы</v>
      </c>
      <c r="I123" s="46"/>
      <c r="L123" s="41">
        <f>'Бартер оружие'!A850</f>
        <v>122</v>
      </c>
      <c r="M123" s="41" t="str">
        <f>'Бартер оружие'!C850</f>
        <v>Обрез ТОЗ-34</v>
      </c>
      <c r="N123" s="41" t="str">
        <f>'Бартер оружие'!D850</f>
        <v>Новичок</v>
      </c>
      <c r="O123" s="41" t="str">
        <f>'Бартер оружие'!E850</f>
        <v>Дробовики и ружья</v>
      </c>
      <c r="P123" s="41" t="str">
        <f t="shared" si="5"/>
        <v>Оружие</v>
      </c>
      <c r="Q123" s="42">
        <f>IF(ISNUMBER('Бартер оружие'!G855), 'Бартер оружие'!G855, "")</f>
        <v>1870</v>
      </c>
      <c r="R123" s="43">
        <v>1</v>
      </c>
      <c r="S123" s="41" t="s">
        <v>194</v>
      </c>
      <c r="T123" s="41" t="s">
        <v>573</v>
      </c>
      <c r="U123" s="44">
        <f t="shared" si="3"/>
        <v>1</v>
      </c>
      <c r="V123" s="44">
        <f>IF(U123=1,SUM($U$2:U123),"")</f>
        <v>122</v>
      </c>
    </row>
    <row r="124" spans="2:22">
      <c r="B124" s="47">
        <f>IFERROR(IF(MATCH(120,$V$2:$V$362,0)&gt;0,120,""),"")</f>
        <v>120</v>
      </c>
      <c r="C124" s="7" t="str">
        <f>IFERROR(INDEX($L$2:$Q$362,MATCH(120,$V$2:$V$362,0),2),"")</f>
        <v>Vz.68 Škorpion</v>
      </c>
      <c r="D124" s="51" t="str">
        <f>IFERROR(INDEX($L$2:$Q$362,MATCH(120,$V$2:$V$362,0),3),"")</f>
        <v>Новичок</v>
      </c>
      <c r="E124" s="47" t="str">
        <f>IFERROR(INDEX($L$2:$Q$362,MATCH(120,$V$2:$V$362,0),4),"")</f>
        <v>Пистолеты-пулеметы</v>
      </c>
      <c r="I124" s="46"/>
      <c r="L124" s="41">
        <f>'Бартер оружие'!A857</f>
        <v>123</v>
      </c>
      <c r="M124" s="41" t="str">
        <f>'Бартер оружие'!C857</f>
        <v>Shorty 590</v>
      </c>
      <c r="N124" s="41" t="str">
        <f>'Бартер оружие'!D857</f>
        <v>Новичок</v>
      </c>
      <c r="O124" s="41" t="str">
        <f>'Бартер оружие'!E857</f>
        <v>Дробовики и ружья</v>
      </c>
      <c r="P124" s="41" t="str">
        <f t="shared" si="5"/>
        <v>Оружие</v>
      </c>
      <c r="Q124" s="42">
        <f>IF(ISNUMBER('Бартер оружие'!G862), 'Бартер оружие'!G862, "")</f>
        <v>1870</v>
      </c>
      <c r="R124" s="43">
        <v>1</v>
      </c>
      <c r="S124" s="41" t="s">
        <v>195</v>
      </c>
      <c r="T124" s="41" t="s">
        <v>574</v>
      </c>
      <c r="U124" s="44">
        <f t="shared" si="3"/>
        <v>1</v>
      </c>
      <c r="V124" s="44">
        <f>IF(U124=1,SUM($U$2:U124),"")</f>
        <v>123</v>
      </c>
    </row>
    <row r="125" spans="2:22">
      <c r="B125" s="47">
        <f>IFERROR(IF(MATCH(121,$V$2:$V$362,0)&gt;0,121,""),"")</f>
        <v>121</v>
      </c>
      <c r="C125" s="7" t="str">
        <f>IFERROR(INDEX($L$2:$Q$362,MATCH(121,$V$2:$V$362,0),2),"")</f>
        <v>Винтовка Мосина</v>
      </c>
      <c r="D125" s="51" t="str">
        <f>IFERROR(INDEX($L$2:$Q$362,MATCH(121,$V$2:$V$362,0),3),"")</f>
        <v>Новичок</v>
      </c>
      <c r="E125" s="47" t="str">
        <f>IFERROR(INDEX($L$2:$Q$362,MATCH(121,$V$2:$V$362,0),4),"")</f>
        <v>Снайперские винтовки</v>
      </c>
      <c r="I125" s="46"/>
      <c r="L125" s="41">
        <f>'Бартер оружие'!A864</f>
        <v>124</v>
      </c>
      <c r="M125" s="41" t="str">
        <f>'Бартер оружие'!C864</f>
        <v>Mauser C96</v>
      </c>
      <c r="N125" s="41" t="str">
        <f>'Бартер оружие'!D864</f>
        <v>Новичок</v>
      </c>
      <c r="O125" s="41" t="str">
        <f>'Бартер оружие'!E864</f>
        <v>Пистолеты</v>
      </c>
      <c r="P125" s="41" t="str">
        <f t="shared" si="5"/>
        <v>Оружие</v>
      </c>
      <c r="Q125" s="42">
        <f>IF(ISNUMBER('Бартер оружие'!G869), 'Бартер оружие'!G869, "")</f>
        <v>3340</v>
      </c>
      <c r="R125" s="43">
        <v>2</v>
      </c>
      <c r="S125" s="41" t="s">
        <v>196</v>
      </c>
      <c r="T125" s="41" t="s">
        <v>575</v>
      </c>
      <c r="U125" s="44">
        <f t="shared" si="3"/>
        <v>1</v>
      </c>
      <c r="V125" s="44">
        <f>IF(U125=1,SUM($U$2:U125),"")</f>
        <v>124</v>
      </c>
    </row>
    <row r="126" spans="2:22">
      <c r="B126" s="47">
        <f>IFERROR(IF(MATCH(122,$V$2:$V$362,0)&gt;0,122,""),"")</f>
        <v>122</v>
      </c>
      <c r="C126" s="7" t="str">
        <f>IFERROR(INDEX($L$2:$Q$362,MATCH(122,$V$2:$V$362,0),2),"")</f>
        <v>Обрез ТОЗ-34</v>
      </c>
      <c r="D126" s="51" t="str">
        <f>IFERROR(INDEX($L$2:$Q$362,MATCH(122,$V$2:$V$362,0),3),"")</f>
        <v>Новичок</v>
      </c>
      <c r="E126" s="47" t="str">
        <f>IFERROR(INDEX($L$2:$Q$362,MATCH(122,$V$2:$V$362,0),4),"")</f>
        <v>Дробовики и ружья</v>
      </c>
      <c r="I126" s="46"/>
      <c r="L126" s="41">
        <f>'Бартер оружие'!A871</f>
        <v>125</v>
      </c>
      <c r="M126" s="41" t="str">
        <f>'Бартер оружие'!C871</f>
        <v>Нож 6Х9</v>
      </c>
      <c r="N126" s="41" t="str">
        <f>'Бартер оружие'!D871</f>
        <v>Новичок</v>
      </c>
      <c r="O126" s="41" t="str">
        <f>'Бартер оружие'!E871</f>
        <v>Ближний бой</v>
      </c>
      <c r="P126" s="41" t="str">
        <f t="shared" si="5"/>
        <v>Оружие</v>
      </c>
      <c r="Q126" s="42">
        <f>IF(ISNUMBER('Бартер оружие'!G876), 'Бартер оружие'!G876, "")</f>
        <v>1070</v>
      </c>
      <c r="R126" s="43">
        <v>1</v>
      </c>
      <c r="S126" s="41" t="s">
        <v>197</v>
      </c>
      <c r="T126" s="41" t="s">
        <v>576</v>
      </c>
      <c r="U126" s="44">
        <f t="shared" si="3"/>
        <v>1</v>
      </c>
      <c r="V126" s="44">
        <f>IF(U126=1,SUM($U$2:U126),"")</f>
        <v>125</v>
      </c>
    </row>
    <row r="127" spans="2:22">
      <c r="B127" s="47">
        <f>IFERROR(IF(MATCH(123,$V$2:$V$362,0)&gt;0,123,""),"")</f>
        <v>123</v>
      </c>
      <c r="C127" s="7" t="str">
        <f>IFERROR(INDEX($L$2:$Q$362,MATCH(123,$V$2:$V$362,0),2),"")</f>
        <v>Shorty 590</v>
      </c>
      <c r="D127" s="51" t="str">
        <f>IFERROR(INDEX($L$2:$Q$362,MATCH(123,$V$2:$V$362,0),3),"")</f>
        <v>Новичок</v>
      </c>
      <c r="E127" s="47" t="str">
        <f>IFERROR(INDEX($L$2:$Q$362,MATCH(123,$V$2:$V$362,0),4),"")</f>
        <v>Дробовики и ружья</v>
      </c>
      <c r="I127" s="46"/>
      <c r="L127" s="41">
        <f>'Бартер оружие'!A878</f>
        <v>126</v>
      </c>
      <c r="M127" s="41" t="str">
        <f>'Бартер оружие'!C878</f>
        <v>ТТ</v>
      </c>
      <c r="N127" s="41" t="str">
        <f>'Бартер оружие'!D878</f>
        <v>Новичок</v>
      </c>
      <c r="O127" s="41" t="str">
        <f>'Бартер оружие'!E878</f>
        <v>Пистолеты</v>
      </c>
      <c r="P127" s="41" t="str">
        <f t="shared" si="5"/>
        <v>Оружие</v>
      </c>
      <c r="Q127" s="42">
        <f>IF(ISNUMBER('Бартер оружие'!G883), 'Бартер оружие'!G883, "")</f>
        <v>810</v>
      </c>
      <c r="R127" s="43">
        <v>1</v>
      </c>
      <c r="S127" s="41" t="s">
        <v>198</v>
      </c>
      <c r="T127" s="41" t="s">
        <v>577</v>
      </c>
      <c r="U127" s="44">
        <f t="shared" si="3"/>
        <v>1</v>
      </c>
      <c r="V127" s="44">
        <f>IF(U127=1,SUM($U$2:U127),"")</f>
        <v>126</v>
      </c>
    </row>
    <row r="128" spans="2:22">
      <c r="B128" s="47">
        <f>IFERROR(IF(MATCH(124,$V$2:$V$362,0)&gt;0,124,""),"")</f>
        <v>124</v>
      </c>
      <c r="C128" s="7" t="str">
        <f>IFERROR(INDEX($L$2:$Q$362,MATCH(124,$V$2:$V$362,0),2),"")</f>
        <v>Mauser C96</v>
      </c>
      <c r="D128" s="51" t="str">
        <f>IFERROR(INDEX($L$2:$Q$362,MATCH(124,$V$2:$V$362,0),3),"")</f>
        <v>Новичок</v>
      </c>
      <c r="E128" s="47" t="str">
        <f>IFERROR(INDEX($L$2:$Q$362,MATCH(124,$V$2:$V$362,0),4),"")</f>
        <v>Пистолеты</v>
      </c>
      <c r="I128" s="46"/>
      <c r="L128" s="41">
        <f>'Бартер оружие'!A885</f>
        <v>127</v>
      </c>
      <c r="M128" s="41" t="str">
        <f>'Бартер оружие'!C885</f>
        <v>КО-1</v>
      </c>
      <c r="N128" s="41" t="str">
        <f>'Бартер оружие'!D885</f>
        <v>Новичок</v>
      </c>
      <c r="O128" s="41" t="str">
        <f>'Бартер оружие'!E885</f>
        <v>Ближний бой</v>
      </c>
      <c r="P128" s="41" t="str">
        <f t="shared" si="5"/>
        <v>Оружие</v>
      </c>
      <c r="Q128" s="42">
        <f>IF(ISNUMBER('Бартер оружие'!G890), 'Бартер оружие'!G890, "")</f>
        <v>520</v>
      </c>
      <c r="R128" s="43">
        <v>1</v>
      </c>
      <c r="S128" s="41"/>
      <c r="T128" s="41" t="s">
        <v>578</v>
      </c>
      <c r="U128" s="44">
        <f t="shared" si="3"/>
        <v>1</v>
      </c>
      <c r="V128" s="44">
        <f>IF(U128=1,SUM($U$2:U128),"")</f>
        <v>127</v>
      </c>
    </row>
    <row r="129" spans="2:22">
      <c r="B129" s="47">
        <f>IFERROR(IF(MATCH(125,$V$2:$V$362,0)&gt;0,125,""),"")</f>
        <v>125</v>
      </c>
      <c r="C129" s="7" t="str">
        <f>IFERROR(INDEX($L$2:$Q$362,MATCH(125,$V$2:$V$362,0),2),"")</f>
        <v>Нож 6Х9</v>
      </c>
      <c r="D129" s="51" t="str">
        <f>IFERROR(INDEX($L$2:$Q$362,MATCH(125,$V$2:$V$362,0),3),"")</f>
        <v>Новичок</v>
      </c>
      <c r="E129" s="47" t="str">
        <f>IFERROR(INDEX($L$2:$Q$362,MATCH(125,$V$2:$V$362,0),4),"")</f>
        <v>Ближний бой</v>
      </c>
      <c r="I129" s="46"/>
      <c r="L129" s="41">
        <f>'Бартер оружие'!A892</f>
        <v>128</v>
      </c>
      <c r="M129" s="41" t="str">
        <f>'Бартер оружие'!C892</f>
        <v>Молоток</v>
      </c>
      <c r="N129" s="41" t="str">
        <f>'Бартер оружие'!D892</f>
        <v>Новичок</v>
      </c>
      <c r="O129" s="41" t="str">
        <f>'Бартер оружие'!E892</f>
        <v>Ближний бой</v>
      </c>
      <c r="P129" s="41" t="str">
        <f t="shared" si="5"/>
        <v>Оружие</v>
      </c>
      <c r="Q129" s="42">
        <f>IF(ISNUMBER('Бартер оружие'!G897), 'Бартер оружие'!G897, "")</f>
        <v>520</v>
      </c>
      <c r="R129" s="43">
        <v>1</v>
      </c>
      <c r="S129" s="41"/>
      <c r="T129" s="41" t="s">
        <v>579</v>
      </c>
      <c r="U129" s="44">
        <f t="shared" si="3"/>
        <v>1</v>
      </c>
      <c r="V129" s="44">
        <f>IF(U129=1,SUM($U$2:U129),"")</f>
        <v>128</v>
      </c>
    </row>
    <row r="130" spans="2:22">
      <c r="B130" s="47">
        <f>IFERROR(IF(MATCH(126,$V$2:$V$362,0)&gt;0,126,""),"")</f>
        <v>126</v>
      </c>
      <c r="C130" s="7" t="str">
        <f>IFERROR(INDEX($L$2:$Q$362,MATCH(126,$V$2:$V$362,0),2),"")</f>
        <v>ТТ</v>
      </c>
      <c r="D130" s="51" t="str">
        <f>IFERROR(INDEX($L$2:$Q$362,MATCH(126,$V$2:$V$362,0),3),"")</f>
        <v>Новичок</v>
      </c>
      <c r="E130" s="47" t="str">
        <f>IFERROR(INDEX($L$2:$Q$362,MATCH(126,$V$2:$V$362,0),4),"")</f>
        <v>Пистолеты</v>
      </c>
      <c r="I130" s="46"/>
      <c r="L130" s="41">
        <f>'Бартер броня'!A3</f>
        <v>1</v>
      </c>
      <c r="M130" s="41" t="str">
        <f>'Бартер броня'!C3</f>
        <v>Сверхтяжелый бронекостюм «Апостол»</v>
      </c>
      <c r="N130" s="41" t="str">
        <f>'Бартер броня'!D3</f>
        <v>Мастер</v>
      </c>
      <c r="O130" s="41" t="str">
        <f>'Бартер броня'!E3</f>
        <v>Боевая броня</v>
      </c>
      <c r="P130" s="41" t="str">
        <f t="shared" ref="P130:P161" si="6">"Броня"</f>
        <v>Броня</v>
      </c>
      <c r="Q130" s="42">
        <f>IF(ISNUMBER('Бартер броня'!G8), 'Бартер броня'!G8, "")</f>
        <v>3810000</v>
      </c>
      <c r="R130" s="43">
        <v>1</v>
      </c>
      <c r="S130" s="41"/>
      <c r="T130" s="41" t="s">
        <v>580</v>
      </c>
      <c r="U130" s="44">
        <f t="shared" ref="U130:U193" si="7">IF(IF($D$2="",1,--ISNUMBER(SEARCH($D$2,M130)))*IF($D$3="Все",1,--(O130=$D$3))=1,1,0)</f>
        <v>1</v>
      </c>
      <c r="V130" s="44">
        <f>IF(U130=1,SUM($U$2:U130),"")</f>
        <v>129</v>
      </c>
    </row>
    <row r="131" spans="2:22">
      <c r="B131" s="47">
        <f>IFERROR(IF(MATCH(127,$V$2:$V$362,0)&gt;0,127,""),"")</f>
        <v>127</v>
      </c>
      <c r="C131" s="7" t="str">
        <f>IFERROR(INDEX($L$2:$Q$362,MATCH(127,$V$2:$V$362,0),2),"")</f>
        <v>КО-1</v>
      </c>
      <c r="D131" s="51" t="str">
        <f>IFERROR(INDEX($L$2:$Q$362,MATCH(127,$V$2:$V$362,0),3),"")</f>
        <v>Новичок</v>
      </c>
      <c r="E131" s="47" t="str">
        <f>IFERROR(INDEX($L$2:$Q$362,MATCH(127,$V$2:$V$362,0),4),"")</f>
        <v>Ближний бой</v>
      </c>
      <c r="I131" s="46"/>
      <c r="L131" s="41">
        <f>'Бартер броня'!A10</f>
        <v>2</v>
      </c>
      <c r="M131" s="41" t="str">
        <f>'Бартер броня'!C10</f>
        <v>Сверхтяжелый бронекостюм «Вождь»</v>
      </c>
      <c r="N131" s="41" t="str">
        <f>'Бартер броня'!D10</f>
        <v>Мастер</v>
      </c>
      <c r="O131" s="41" t="str">
        <f>'Бартер броня'!E10</f>
        <v>Боевая броня</v>
      </c>
      <c r="P131" s="41" t="str">
        <f t="shared" si="6"/>
        <v>Броня</v>
      </c>
      <c r="Q131" s="42">
        <f>IF(ISNUMBER('Бартер броня'!G15), 'Бартер броня'!G15, "")</f>
        <v>3810000</v>
      </c>
      <c r="R131" s="43">
        <v>1</v>
      </c>
      <c r="S131" s="41"/>
      <c r="T131" s="41" t="s">
        <v>581</v>
      </c>
      <c r="U131" s="44">
        <f t="shared" si="7"/>
        <v>1</v>
      </c>
      <c r="V131" s="44">
        <f>IF(U131=1,SUM($U$2:U131),"")</f>
        <v>130</v>
      </c>
    </row>
    <row r="132" spans="2:22">
      <c r="B132" s="47">
        <f>IFERROR(IF(MATCH(128,$V$2:$V$362,0)&gt;0,128,""),"")</f>
        <v>128</v>
      </c>
      <c r="C132" s="7" t="str">
        <f>IFERROR(INDEX($L$2:$Q$362,MATCH(128,$V$2:$V$362,0),2),"")</f>
        <v>Молоток</v>
      </c>
      <c r="D132" s="51" t="str">
        <f>IFERROR(INDEX($L$2:$Q$362,MATCH(128,$V$2:$V$362,0),3),"")</f>
        <v>Новичок</v>
      </c>
      <c r="E132" s="47" t="str">
        <f>IFERROR(INDEX($L$2:$Q$362,MATCH(128,$V$2:$V$362,0),4),"")</f>
        <v>Ближний бой</v>
      </c>
      <c r="I132" s="46"/>
      <c r="L132" s="41">
        <f>'Бартер броня'!A17</f>
        <v>3</v>
      </c>
      <c r="M132" s="41" t="str">
        <f>'Бартер броня'!C17</f>
        <v>Сверхтяжелый бронекостюм «Гранит»</v>
      </c>
      <c r="N132" s="41" t="str">
        <f>'Бартер броня'!D17</f>
        <v>Мастер</v>
      </c>
      <c r="O132" s="41" t="str">
        <f>'Бартер броня'!E17</f>
        <v>Боевая броня</v>
      </c>
      <c r="P132" s="41" t="str">
        <f t="shared" si="6"/>
        <v>Броня</v>
      </c>
      <c r="Q132" s="42">
        <f>IF(ISNUMBER('Бартер броня'!G22), 'Бартер броня'!G22, "")</f>
        <v>3810000</v>
      </c>
      <c r="R132" s="43">
        <v>1</v>
      </c>
      <c r="S132" s="41"/>
      <c r="T132" s="41" t="s">
        <v>582</v>
      </c>
      <c r="U132" s="44">
        <f t="shared" si="7"/>
        <v>1</v>
      </c>
      <c r="V132" s="44">
        <f>IF(U132=1,SUM($U$2:U132),"")</f>
        <v>131</v>
      </c>
    </row>
    <row r="133" spans="2:22">
      <c r="B133" s="47">
        <f>IFERROR(IF(MATCH(129,$V$2:$V$362,0)&gt;0,129,""),"")</f>
        <v>129</v>
      </c>
      <c r="C133" s="4" t="str">
        <f>IFERROR(INDEX($L$2:$Q$362,MATCH(129,$V$2:$V$362,0),2),"")</f>
        <v>Сверхтяжелый бронекостюм «Апостол»</v>
      </c>
      <c r="D133" s="48" t="str">
        <f>IFERROR(INDEX($L$2:$Q$362,MATCH(129,$V$2:$V$362,0),3),"")</f>
        <v>Мастер</v>
      </c>
      <c r="E133" s="47" t="str">
        <f>IFERROR(INDEX($L$2:$Q$362,MATCH(129,$V$2:$V$362,0),4),"")</f>
        <v>Боевая броня</v>
      </c>
      <c r="I133" s="46"/>
      <c r="L133" s="41">
        <f>'Бартер броня'!A24</f>
        <v>4</v>
      </c>
      <c r="M133" s="41" t="str">
        <f>'Бартер броня'!C24</f>
        <v>Сверхтяжелый бронекостюм «Рейтар»</v>
      </c>
      <c r="N133" s="41" t="str">
        <f>'Бартер броня'!D24</f>
        <v>Мастер</v>
      </c>
      <c r="O133" s="41" t="str">
        <f>'Бартер броня'!E24</f>
        <v>Боевая броня</v>
      </c>
      <c r="P133" s="41" t="str">
        <f t="shared" si="6"/>
        <v>Броня</v>
      </c>
      <c r="Q133" s="42">
        <f>IF(ISNUMBER('Бартер броня'!G29), 'Бартер броня'!G29, "")</f>
        <v>3810000</v>
      </c>
      <c r="R133" s="43">
        <v>1</v>
      </c>
      <c r="S133" s="41"/>
      <c r="T133" s="41" t="s">
        <v>583</v>
      </c>
      <c r="U133" s="44">
        <f t="shared" si="7"/>
        <v>1</v>
      </c>
      <c r="V133" s="44">
        <f>IF(U133=1,SUM($U$2:U133),"")</f>
        <v>132</v>
      </c>
    </row>
    <row r="134" spans="2:22">
      <c r="B134" s="47">
        <f>IFERROR(IF(MATCH(130,$V$2:$V$362,0)&gt;0,130,""),"")</f>
        <v>130</v>
      </c>
      <c r="C134" s="4" t="str">
        <f>IFERROR(INDEX($L$2:$Q$362,MATCH(130,$V$2:$V$362,0),2),"")</f>
        <v>Сверхтяжелый бронекостюм «Вождь»</v>
      </c>
      <c r="D134" s="48" t="str">
        <f>IFERROR(INDEX($L$2:$Q$362,MATCH(130,$V$2:$V$362,0),3),"")</f>
        <v>Мастер</v>
      </c>
      <c r="E134" s="47" t="str">
        <f>IFERROR(INDEX($L$2:$Q$362,MATCH(130,$V$2:$V$362,0),4),"")</f>
        <v>Боевая броня</v>
      </c>
      <c r="I134" s="46"/>
      <c r="L134" s="41">
        <f>'Бартер броня'!A31</f>
        <v>5</v>
      </c>
      <c r="M134" s="41" t="str">
        <f>'Бартер броня'!C31</f>
        <v>Экзоброня «Гончий»</v>
      </c>
      <c r="N134" s="41" t="str">
        <f>'Бартер броня'!D31</f>
        <v>Мастер</v>
      </c>
      <c r="O134" s="41" t="str">
        <f>'Бартер броня'!E31</f>
        <v>Комбинированная броня</v>
      </c>
      <c r="P134" s="41" t="str">
        <f t="shared" si="6"/>
        <v>Броня</v>
      </c>
      <c r="Q134" s="42">
        <f>IF(ISNUMBER('Бартер броня'!G36), 'Бартер броня'!G36, "")</f>
        <v>3650000</v>
      </c>
      <c r="R134" s="43">
        <v>1</v>
      </c>
      <c r="S134" s="41"/>
      <c r="T134" s="41" t="s">
        <v>584</v>
      </c>
      <c r="U134" s="44">
        <f t="shared" si="7"/>
        <v>1</v>
      </c>
      <c r="V134" s="44">
        <f>IF(U134=1,SUM($U$2:U134),"")</f>
        <v>133</v>
      </c>
    </row>
    <row r="135" spans="2:22">
      <c r="B135" s="47">
        <f>IFERROR(IF(MATCH(131,$V$2:$V$362,0)&gt;0,131,""),"")</f>
        <v>131</v>
      </c>
      <c r="C135" s="4" t="str">
        <f>IFERROR(INDEX($L$2:$Q$362,MATCH(131,$V$2:$V$362,0),2),"")</f>
        <v>Сверхтяжелый бронекостюм «Гранит»</v>
      </c>
      <c r="D135" s="48" t="str">
        <f>IFERROR(INDEX($L$2:$Q$362,MATCH(131,$V$2:$V$362,0),3),"")</f>
        <v>Мастер</v>
      </c>
      <c r="E135" s="47" t="str">
        <f>IFERROR(INDEX($L$2:$Q$362,MATCH(131,$V$2:$V$362,0),4),"")</f>
        <v>Боевая броня</v>
      </c>
      <c r="I135" s="46"/>
      <c r="L135" s="41">
        <f>'Бартер броня'!A38</f>
        <v>6</v>
      </c>
      <c r="M135" s="41" t="str">
        <f>'Бартер броня'!C38</f>
        <v>Экзоброня «Каратель»</v>
      </c>
      <c r="N135" s="41" t="str">
        <f>'Бартер броня'!D38</f>
        <v>Мастер</v>
      </c>
      <c r="O135" s="41" t="str">
        <f>'Бартер броня'!E38</f>
        <v>Комбинированная броня</v>
      </c>
      <c r="P135" s="41" t="str">
        <f t="shared" si="6"/>
        <v>Броня</v>
      </c>
      <c r="Q135" s="42">
        <f>IF(ISNUMBER('Бартер броня'!G43), 'Бартер броня'!G43, "")</f>
        <v>3650000</v>
      </c>
      <c r="R135" s="43">
        <v>1</v>
      </c>
      <c r="S135" s="41"/>
      <c r="T135" s="41" t="s">
        <v>585</v>
      </c>
      <c r="U135" s="44">
        <f t="shared" si="7"/>
        <v>1</v>
      </c>
      <c r="V135" s="44">
        <f>IF(U135=1,SUM($U$2:U135),"")</f>
        <v>134</v>
      </c>
    </row>
    <row r="136" spans="2:22">
      <c r="B136" s="47">
        <f>IFERROR(IF(MATCH(132,$V$2:$V$362,0)&gt;0,132,""),"")</f>
        <v>132</v>
      </c>
      <c r="C136" s="4" t="str">
        <f>IFERROR(INDEX($L$2:$Q$362,MATCH(132,$V$2:$V$362,0),2),"")</f>
        <v>Сверхтяжелый бронекостюм «Рейтар»</v>
      </c>
      <c r="D136" s="48" t="str">
        <f>IFERROR(INDEX($L$2:$Q$362,MATCH(132,$V$2:$V$362,0),3),"")</f>
        <v>Мастер</v>
      </c>
      <c r="E136" s="47" t="str">
        <f>IFERROR(INDEX($L$2:$Q$362,MATCH(132,$V$2:$V$362,0),4),"")</f>
        <v>Боевая броня</v>
      </c>
      <c r="I136" s="46"/>
      <c r="L136" s="41">
        <f>'Бартер броня'!A45</f>
        <v>7</v>
      </c>
      <c r="M136" s="41" t="str">
        <f>'Бартер броня'!C45</f>
        <v>Экзоброня «Миссионер»</v>
      </c>
      <c r="N136" s="41" t="str">
        <f>'Бартер броня'!D45</f>
        <v>Мастер</v>
      </c>
      <c r="O136" s="41" t="str">
        <f>'Бартер броня'!E45</f>
        <v>Комбинированная броня</v>
      </c>
      <c r="P136" s="41" t="str">
        <f t="shared" si="6"/>
        <v>Броня</v>
      </c>
      <c r="Q136" s="42">
        <f>IF(ISNUMBER('Бартер броня'!G50), 'Бартер броня'!G50, "")</f>
        <v>3650000</v>
      </c>
      <c r="R136" s="43">
        <v>1</v>
      </c>
      <c r="S136" s="41"/>
      <c r="T136" s="41" t="s">
        <v>586</v>
      </c>
      <c r="U136" s="44">
        <f t="shared" si="7"/>
        <v>1</v>
      </c>
      <c r="V136" s="44">
        <f>IF(U136=1,SUM($U$2:U136),"")</f>
        <v>135</v>
      </c>
    </row>
    <row r="137" spans="2:22">
      <c r="B137" s="47">
        <f>IFERROR(IF(MATCH(133,$V$2:$V$362,0)&gt;0,133,""),"")</f>
        <v>133</v>
      </c>
      <c r="C137" s="4" t="str">
        <f>IFERROR(INDEX($L$2:$Q$362,MATCH(133,$V$2:$V$362,0),2),"")</f>
        <v>Экзоброня «Гончий»</v>
      </c>
      <c r="D137" s="48" t="str">
        <f>IFERROR(INDEX($L$2:$Q$362,MATCH(133,$V$2:$V$362,0),3),"")</f>
        <v>Мастер</v>
      </c>
      <c r="E137" s="47" t="str">
        <f>IFERROR(INDEX($L$2:$Q$362,MATCH(133,$V$2:$V$362,0),4),"")</f>
        <v>Комбинированная броня</v>
      </c>
      <c r="I137" s="46"/>
      <c r="L137" s="41">
        <f>'Бартер броня'!A52</f>
        <v>8</v>
      </c>
      <c r="M137" s="41" t="str">
        <f>'Бартер броня'!C52</f>
        <v>Экзоброня «Следак»</v>
      </c>
      <c r="N137" s="41" t="str">
        <f>'Бартер броня'!D52</f>
        <v>Мастер</v>
      </c>
      <c r="O137" s="41" t="str">
        <f>'Бартер броня'!E52</f>
        <v>Комбинированная броня</v>
      </c>
      <c r="P137" s="41" t="str">
        <f t="shared" si="6"/>
        <v>Броня</v>
      </c>
      <c r="Q137" s="42">
        <f>IF(ISNUMBER('Бартер броня'!G57), 'Бартер броня'!G57, "")</f>
        <v>3650000</v>
      </c>
      <c r="R137" s="43">
        <v>1</v>
      </c>
      <c r="S137" s="41"/>
      <c r="T137" s="41" t="s">
        <v>587</v>
      </c>
      <c r="U137" s="44">
        <f t="shared" si="7"/>
        <v>1</v>
      </c>
      <c r="V137" s="44">
        <f>IF(U137=1,SUM($U$2:U137),"")</f>
        <v>136</v>
      </c>
    </row>
    <row r="138" spans="2:22">
      <c r="B138" s="47">
        <f>IFERROR(IF(MATCH(134,$V$2:$V$362,0)&gt;0,134,""),"")</f>
        <v>134</v>
      </c>
      <c r="C138" s="4" t="str">
        <f>IFERROR(INDEX($L$2:$Q$362,MATCH(134,$V$2:$V$362,0),2),"")</f>
        <v>Экзоброня «Каратель»</v>
      </c>
      <c r="D138" s="48" t="str">
        <f>IFERROR(INDEX($L$2:$Q$362,MATCH(134,$V$2:$V$362,0),3),"")</f>
        <v>Мастер</v>
      </c>
      <c r="E138" s="47" t="str">
        <f>IFERROR(INDEX($L$2:$Q$362,MATCH(134,$V$2:$V$362,0),4),"")</f>
        <v>Комбинированная броня</v>
      </c>
      <c r="I138" s="46"/>
      <c r="L138" s="41">
        <f>'Бартер броня'!A59</f>
        <v>9</v>
      </c>
      <c r="M138" s="41" t="str">
        <f>'Бартер броня'!C59</f>
        <v>Бронекостюм «Авангард»</v>
      </c>
      <c r="N138" s="41" t="str">
        <f>'Бартер броня'!D59</f>
        <v>Мастер</v>
      </c>
      <c r="O138" s="41" t="str">
        <f>'Бартер броня'!E59</f>
        <v>Боевая броня</v>
      </c>
      <c r="P138" s="41" t="str">
        <f t="shared" si="6"/>
        <v>Броня</v>
      </c>
      <c r="Q138" s="42">
        <f>IF(ISNUMBER('Бартер броня'!G64), 'Бартер броня'!G64, "")</f>
        <v>3540000</v>
      </c>
      <c r="R138" s="43">
        <v>1</v>
      </c>
      <c r="S138" s="41"/>
      <c r="T138" s="41" t="s">
        <v>588</v>
      </c>
      <c r="U138" s="44">
        <f t="shared" si="7"/>
        <v>1</v>
      </c>
      <c r="V138" s="44">
        <f>IF(U138=1,SUM($U$2:U138),"")</f>
        <v>137</v>
      </c>
    </row>
    <row r="139" spans="2:22">
      <c r="B139" s="47">
        <f>IFERROR(IF(MATCH(135,$V$2:$V$362,0)&gt;0,135,""),"")</f>
        <v>135</v>
      </c>
      <c r="C139" s="4" t="str">
        <f>IFERROR(INDEX($L$2:$Q$362,MATCH(135,$V$2:$V$362,0),2),"")</f>
        <v>Экзоброня «Миссионер»</v>
      </c>
      <c r="D139" s="48" t="str">
        <f>IFERROR(INDEX($L$2:$Q$362,MATCH(135,$V$2:$V$362,0),3),"")</f>
        <v>Мастер</v>
      </c>
      <c r="E139" s="47" t="str">
        <f>IFERROR(INDEX($L$2:$Q$362,MATCH(135,$V$2:$V$362,0),4),"")</f>
        <v>Комбинированная броня</v>
      </c>
      <c r="I139" s="46"/>
      <c r="L139" s="41">
        <f>'Бартер броня'!A66</f>
        <v>10</v>
      </c>
      <c r="M139" s="41" t="str">
        <f>'Бартер броня'!C66</f>
        <v>Бронекостюм «Прометей»</v>
      </c>
      <c r="N139" s="41" t="str">
        <f>'Бартер броня'!D66</f>
        <v>Мастер</v>
      </c>
      <c r="O139" s="41" t="str">
        <f>'Бартер броня'!E66</f>
        <v>Боевая броня</v>
      </c>
      <c r="P139" s="41" t="str">
        <f t="shared" si="6"/>
        <v>Броня</v>
      </c>
      <c r="Q139" s="42">
        <f>IF(ISNUMBER('Бартер броня'!G71), 'Бартер броня'!G71, "")</f>
        <v>3540000</v>
      </c>
      <c r="R139" s="43">
        <v>1</v>
      </c>
      <c r="S139" s="41"/>
      <c r="T139" s="41" t="s">
        <v>589</v>
      </c>
      <c r="U139" s="44">
        <f t="shared" si="7"/>
        <v>1</v>
      </c>
      <c r="V139" s="44">
        <f>IF(U139=1,SUM($U$2:U139),"")</f>
        <v>138</v>
      </c>
    </row>
    <row r="140" spans="2:22">
      <c r="B140" s="47">
        <f>IFERROR(IF(MATCH(136,$V$2:$V$362,0)&gt;0,136,""),"")</f>
        <v>136</v>
      </c>
      <c r="C140" s="4" t="str">
        <f>IFERROR(INDEX($L$2:$Q$362,MATCH(136,$V$2:$V$362,0),2),"")</f>
        <v>Экзоброня «Следак»</v>
      </c>
      <c r="D140" s="48" t="str">
        <f>IFERROR(INDEX($L$2:$Q$362,MATCH(136,$V$2:$V$362,0),3),"")</f>
        <v>Мастер</v>
      </c>
      <c r="E140" s="47" t="str">
        <f>IFERROR(INDEX($L$2:$Q$362,MATCH(136,$V$2:$V$362,0),4),"")</f>
        <v>Комбинированная броня</v>
      </c>
      <c r="I140" s="46"/>
      <c r="L140" s="41">
        <f>'Бартер броня'!A73</f>
        <v>11</v>
      </c>
      <c r="M140" s="41" t="str">
        <f>'Бартер броня'!C73</f>
        <v>Бронекостюм «Ронин»</v>
      </c>
      <c r="N140" s="41" t="str">
        <f>'Бартер броня'!D73</f>
        <v>Мастер</v>
      </c>
      <c r="O140" s="41" t="str">
        <f>'Бартер броня'!E73</f>
        <v>Боевая броня</v>
      </c>
      <c r="P140" s="41" t="str">
        <f t="shared" si="6"/>
        <v>Броня</v>
      </c>
      <c r="Q140" s="42">
        <f>IF(ISNUMBER('Бартер броня'!G78), 'Бартер броня'!G78, "")</f>
        <v>3540000</v>
      </c>
      <c r="R140" s="43">
        <v>1</v>
      </c>
      <c r="S140" s="41"/>
      <c r="T140" s="41" t="s">
        <v>590</v>
      </c>
      <c r="U140" s="44">
        <f t="shared" si="7"/>
        <v>1</v>
      </c>
      <c r="V140" s="44">
        <f>IF(U140=1,SUM($U$2:U140),"")</f>
        <v>139</v>
      </c>
    </row>
    <row r="141" spans="2:22">
      <c r="B141" s="47">
        <f>IFERROR(IF(MATCH(137,$V$2:$V$362,0)&gt;0,137,""),"")</f>
        <v>137</v>
      </c>
      <c r="C141" s="4" t="str">
        <f>IFERROR(INDEX($L$2:$Q$362,MATCH(137,$V$2:$V$362,0),2),"")</f>
        <v>Бронекостюм «Авангард»</v>
      </c>
      <c r="D141" s="48" t="str">
        <f>IFERROR(INDEX($L$2:$Q$362,MATCH(137,$V$2:$V$362,0),3),"")</f>
        <v>Мастер</v>
      </c>
      <c r="E141" s="47" t="str">
        <f>IFERROR(INDEX($L$2:$Q$362,MATCH(137,$V$2:$V$362,0),4),"")</f>
        <v>Боевая броня</v>
      </c>
      <c r="I141" s="46"/>
      <c r="L141" s="41">
        <f>'Бартер броня'!A80</f>
        <v>12</v>
      </c>
      <c r="M141" s="41" t="str">
        <f>'Бартер броня'!C80</f>
        <v>Бронекостюм «Храмовник»</v>
      </c>
      <c r="N141" s="41" t="str">
        <f>'Бартер броня'!D80</f>
        <v>Мастер</v>
      </c>
      <c r="O141" s="41" t="str">
        <f>'Бартер броня'!E80</f>
        <v>Боевая броня</v>
      </c>
      <c r="P141" s="41" t="str">
        <f t="shared" si="6"/>
        <v>Броня</v>
      </c>
      <c r="Q141" s="42">
        <f>IF(ISNUMBER('Бартер броня'!G85), 'Бартер броня'!G85, "")</f>
        <v>3540000</v>
      </c>
      <c r="R141" s="43">
        <v>1</v>
      </c>
      <c r="S141" s="41"/>
      <c r="T141" s="41" t="s">
        <v>591</v>
      </c>
      <c r="U141" s="44">
        <f t="shared" si="7"/>
        <v>1</v>
      </c>
      <c r="V141" s="44">
        <f>IF(U141=1,SUM($U$2:U141),"")</f>
        <v>140</v>
      </c>
    </row>
    <row r="142" spans="2:22">
      <c r="B142" s="47">
        <f>IFERROR(IF(MATCH(138,$V$2:$V$362,0)&gt;0,138,""),"")</f>
        <v>138</v>
      </c>
      <c r="C142" s="4" t="str">
        <f>IFERROR(INDEX($L$2:$Q$362,MATCH(138,$V$2:$V$362,0),2),"")</f>
        <v>Бронекостюм «Прометей»</v>
      </c>
      <c r="D142" s="48" t="str">
        <f>IFERROR(INDEX($L$2:$Q$362,MATCH(138,$V$2:$V$362,0),3),"")</f>
        <v>Мастер</v>
      </c>
      <c r="E142" s="47" t="str">
        <f>IFERROR(INDEX($L$2:$Q$362,MATCH(138,$V$2:$V$362,0),4),"")</f>
        <v>Боевая броня</v>
      </c>
      <c r="I142" s="46"/>
      <c r="L142" s="41">
        <f>'Бартер броня'!A87</f>
        <v>13</v>
      </c>
      <c r="M142" s="41" t="str">
        <f>'Бартер броня'!C87</f>
        <v>Комбинезон «Ковчег»</v>
      </c>
      <c r="N142" s="41" t="str">
        <f>'Бартер броня'!D87</f>
        <v>Мастер</v>
      </c>
      <c r="O142" s="41" t="str">
        <f>'Бартер броня'!E87</f>
        <v>Научная броня</v>
      </c>
      <c r="P142" s="41" t="str">
        <f t="shared" si="6"/>
        <v>Броня</v>
      </c>
      <c r="Q142" s="42">
        <f>IF(ISNUMBER('Бартер броня'!G92), 'Бартер броня'!G92, "")</f>
        <v>3530000</v>
      </c>
      <c r="R142" s="43">
        <v>1</v>
      </c>
      <c r="S142" s="41"/>
      <c r="T142" s="41" t="s">
        <v>592</v>
      </c>
      <c r="U142" s="44">
        <f t="shared" si="7"/>
        <v>1</v>
      </c>
      <c r="V142" s="44">
        <f>IF(U142=1,SUM($U$2:U142),"")</f>
        <v>141</v>
      </c>
    </row>
    <row r="143" spans="2:22">
      <c r="B143" s="47">
        <f>IFERROR(IF(MATCH(139,$V$2:$V$362,0)&gt;0,139,""),"")</f>
        <v>139</v>
      </c>
      <c r="C143" s="4" t="str">
        <f>IFERROR(INDEX($L$2:$Q$362,MATCH(139,$V$2:$V$362,0),2),"")</f>
        <v>Бронекостюм «Ронин»</v>
      </c>
      <c r="D143" s="48" t="str">
        <f>IFERROR(INDEX($L$2:$Q$362,MATCH(139,$V$2:$V$362,0),3),"")</f>
        <v>Мастер</v>
      </c>
      <c r="E143" s="47" t="str">
        <f>IFERROR(INDEX($L$2:$Q$362,MATCH(139,$V$2:$V$362,0),4),"")</f>
        <v>Боевая броня</v>
      </c>
      <c r="I143" s="46"/>
      <c r="L143" s="41">
        <f>'Бартер броня'!A94</f>
        <v>14</v>
      </c>
      <c r="M143" s="41" t="str">
        <f>'Бартер броня'!C94</f>
        <v>Комбинезон «Навигатор»</v>
      </c>
      <c r="N143" s="41" t="str">
        <f>'Бартер броня'!D94</f>
        <v>Мастер</v>
      </c>
      <c r="O143" s="41" t="str">
        <f>'Бартер броня'!E94</f>
        <v>Научная броня</v>
      </c>
      <c r="P143" s="41" t="str">
        <f t="shared" si="6"/>
        <v>Броня</v>
      </c>
      <c r="Q143" s="42">
        <f>IF(ISNUMBER('Бартер броня'!G99), 'Бартер броня'!G99, "")</f>
        <v>3530000</v>
      </c>
      <c r="R143" s="43">
        <v>1</v>
      </c>
      <c r="S143" s="41"/>
      <c r="T143" s="41" t="s">
        <v>593</v>
      </c>
      <c r="U143" s="44">
        <f t="shared" si="7"/>
        <v>1</v>
      </c>
      <c r="V143" s="44">
        <f>IF(U143=1,SUM($U$2:U143),"")</f>
        <v>142</v>
      </c>
    </row>
    <row r="144" spans="2:22">
      <c r="B144" s="47">
        <f>IFERROR(IF(MATCH(140,$V$2:$V$362,0)&gt;0,140,""),"")</f>
        <v>140</v>
      </c>
      <c r="C144" s="4" t="str">
        <f>IFERROR(INDEX($L$2:$Q$362,MATCH(140,$V$2:$V$362,0),2),"")</f>
        <v>Бронекостюм «Храмовник»</v>
      </c>
      <c r="D144" s="48" t="str">
        <f>IFERROR(INDEX($L$2:$Q$362,MATCH(140,$V$2:$V$362,0),3),"")</f>
        <v>Мастер</v>
      </c>
      <c r="E144" s="47" t="str">
        <f>IFERROR(INDEX($L$2:$Q$362,MATCH(140,$V$2:$V$362,0),4),"")</f>
        <v>Боевая броня</v>
      </c>
      <c r="I144" s="46"/>
      <c r="L144" s="41">
        <f>'Бартер броня'!A101</f>
        <v>15</v>
      </c>
      <c r="M144" s="41" t="str">
        <f>'Бартер броня'!C101</f>
        <v>Комбинезон «Орион»</v>
      </c>
      <c r="N144" s="41" t="str">
        <f>'Бартер броня'!D101</f>
        <v>Мастер</v>
      </c>
      <c r="O144" s="41" t="str">
        <f>'Бартер броня'!E101</f>
        <v>Научная броня</v>
      </c>
      <c r="P144" s="41" t="str">
        <f t="shared" si="6"/>
        <v>Броня</v>
      </c>
      <c r="Q144" s="42">
        <f>IF(ISNUMBER('Бартер броня'!G106), 'Бартер броня'!G106, "")</f>
        <v>3530000</v>
      </c>
      <c r="R144" s="43">
        <v>1</v>
      </c>
      <c r="S144" s="41"/>
      <c r="T144" s="41" t="s">
        <v>594</v>
      </c>
      <c r="U144" s="44">
        <f t="shared" si="7"/>
        <v>1</v>
      </c>
      <c r="V144" s="44">
        <f>IF(U144=1,SUM($U$2:U144),"")</f>
        <v>143</v>
      </c>
    </row>
    <row r="145" spans="2:22">
      <c r="B145" s="47">
        <f>IFERROR(IF(MATCH(141,$V$2:$V$362,0)&gt;0,141,""),"")</f>
        <v>141</v>
      </c>
      <c r="C145" s="4" t="str">
        <f>IFERROR(INDEX($L$2:$Q$362,MATCH(141,$V$2:$V$362,0),2),"")</f>
        <v>Комбинезон «Ковчег»</v>
      </c>
      <c r="D145" s="48" t="str">
        <f>IFERROR(INDEX($L$2:$Q$362,MATCH(141,$V$2:$V$362,0),3),"")</f>
        <v>Мастер</v>
      </c>
      <c r="E145" s="47" t="str">
        <f>IFERROR(INDEX($L$2:$Q$362,MATCH(141,$V$2:$V$362,0),4),"")</f>
        <v>Научная броня</v>
      </c>
      <c r="I145" s="46"/>
      <c r="L145" s="41">
        <f>'Бартер броня'!A108</f>
        <v>16</v>
      </c>
      <c r="M145" s="41" t="str">
        <f>'Бартер броня'!C108</f>
        <v>Комбинезон «Пересвет»</v>
      </c>
      <c r="N145" s="41" t="str">
        <f>'Бартер броня'!D108</f>
        <v>Мастер</v>
      </c>
      <c r="O145" s="41" t="str">
        <f>'Бартер броня'!E108</f>
        <v>Научная броня</v>
      </c>
      <c r="P145" s="41" t="str">
        <f t="shared" si="6"/>
        <v>Броня</v>
      </c>
      <c r="Q145" s="42">
        <f>IF(ISNUMBER('Бартер броня'!G113), 'Бартер броня'!G113, "")</f>
        <v>3530000</v>
      </c>
      <c r="R145" s="43">
        <v>1</v>
      </c>
      <c r="S145" s="41"/>
      <c r="T145" s="41" t="s">
        <v>595</v>
      </c>
      <c r="U145" s="44">
        <f t="shared" si="7"/>
        <v>1</v>
      </c>
      <c r="V145" s="44">
        <f>IF(U145=1,SUM($U$2:U145),"")</f>
        <v>144</v>
      </c>
    </row>
    <row r="146" spans="2:22">
      <c r="B146" s="47">
        <f>IFERROR(IF(MATCH(142,$V$2:$V$362,0)&gt;0,142,""),"")</f>
        <v>142</v>
      </c>
      <c r="C146" s="4" t="str">
        <f>IFERROR(INDEX($L$2:$Q$362,MATCH(142,$V$2:$V$362,0),2),"")</f>
        <v>Комбинезон «Навигатор»</v>
      </c>
      <c r="D146" s="48" t="str">
        <f>IFERROR(INDEX($L$2:$Q$362,MATCH(142,$V$2:$V$362,0),3),"")</f>
        <v>Мастер</v>
      </c>
      <c r="E146" s="47" t="str">
        <f>IFERROR(INDEX($L$2:$Q$362,MATCH(142,$V$2:$V$362,0),4),"")</f>
        <v>Научная броня</v>
      </c>
      <c r="I146" s="46"/>
      <c r="L146" s="41">
        <f>'Бартер броня'!A115</f>
        <v>17</v>
      </c>
      <c r="M146" s="41" t="str">
        <f>'Бартер броня'!C115</f>
        <v>Бронекостюм «Центурион»</v>
      </c>
      <c r="N146" s="41" t="str">
        <f>'Бартер броня'!D115</f>
        <v>Мастер</v>
      </c>
      <c r="O146" s="41" t="str">
        <f>'Бартер броня'!E115</f>
        <v>Боевая броня</v>
      </c>
      <c r="P146" s="41" t="str">
        <f t="shared" si="6"/>
        <v>Броня</v>
      </c>
      <c r="Q146" s="42">
        <f>IF(ISNUMBER('Бартер броня'!G120), 'Бартер броня'!G120, "")</f>
        <v>2580000</v>
      </c>
      <c r="R146" s="43">
        <v>1</v>
      </c>
      <c r="S146" s="41" t="s">
        <v>221</v>
      </c>
      <c r="T146" s="41" t="s">
        <v>596</v>
      </c>
      <c r="U146" s="44">
        <f t="shared" si="7"/>
        <v>1</v>
      </c>
      <c r="V146" s="44">
        <f>IF(U146=1,SUM($U$2:U146),"")</f>
        <v>145</v>
      </c>
    </row>
    <row r="147" spans="2:22">
      <c r="B147" s="47">
        <f>IFERROR(IF(MATCH(143,$V$2:$V$362,0)&gt;0,143,""),"")</f>
        <v>143</v>
      </c>
      <c r="C147" s="4" t="str">
        <f>IFERROR(INDEX($L$2:$Q$362,MATCH(143,$V$2:$V$362,0),2),"")</f>
        <v>Комбинезон «Орион»</v>
      </c>
      <c r="D147" s="48" t="str">
        <f>IFERROR(INDEX($L$2:$Q$362,MATCH(143,$V$2:$V$362,0),3),"")</f>
        <v>Мастер</v>
      </c>
      <c r="E147" s="47" t="str">
        <f>IFERROR(INDEX($L$2:$Q$362,MATCH(143,$V$2:$V$362,0),4),"")</f>
        <v>Научная броня</v>
      </c>
      <c r="I147" s="46"/>
      <c r="L147" s="41">
        <f>'Бартер броня'!A122</f>
        <v>18</v>
      </c>
      <c r="M147" s="41" t="str">
        <f>'Бартер броня'!C122</f>
        <v>Экзоброня «Мул»</v>
      </c>
      <c r="N147" s="41" t="str">
        <f>'Бартер броня'!D122</f>
        <v>Мастер</v>
      </c>
      <c r="O147" s="41" t="str">
        <f>'Бартер броня'!E122</f>
        <v>Боевая броня</v>
      </c>
      <c r="P147" s="41" t="str">
        <f t="shared" si="6"/>
        <v>Броня</v>
      </c>
      <c r="Q147" s="42">
        <f>IF(ISNUMBER('Бартер броня'!G127), 'Бартер броня'!G127, "")</f>
        <v>2390000</v>
      </c>
      <c r="R147" s="43">
        <v>1</v>
      </c>
      <c r="S147" s="41" t="s">
        <v>223</v>
      </c>
      <c r="T147" s="41" t="s">
        <v>597</v>
      </c>
      <c r="U147" s="44">
        <f t="shared" si="7"/>
        <v>1</v>
      </c>
      <c r="V147" s="44">
        <f>IF(U147=1,SUM($U$2:U147),"")</f>
        <v>146</v>
      </c>
    </row>
    <row r="148" spans="2:22">
      <c r="B148" s="47">
        <f>IFERROR(IF(MATCH(144,$V$2:$V$362,0)&gt;0,144,""),"")</f>
        <v>144</v>
      </c>
      <c r="C148" s="4" t="str">
        <f>IFERROR(INDEX($L$2:$Q$362,MATCH(144,$V$2:$V$362,0),2),"")</f>
        <v>Комбинезон «Пересвет»</v>
      </c>
      <c r="D148" s="48" t="str">
        <f>IFERROR(INDEX($L$2:$Q$362,MATCH(144,$V$2:$V$362,0),3),"")</f>
        <v>Мастер</v>
      </c>
      <c r="E148" s="47" t="str">
        <f>IFERROR(INDEX($L$2:$Q$362,MATCH(144,$V$2:$V$362,0),4),"")</f>
        <v>Научная броня</v>
      </c>
      <c r="I148" s="46"/>
      <c r="L148" s="41">
        <f>'Бартер броня'!A129</f>
        <v>19</v>
      </c>
      <c r="M148" s="41" t="str">
        <f>'Бартер броня'!C129</f>
        <v>Экзоброня «Туз»</v>
      </c>
      <c r="N148" s="41" t="str">
        <f>'Бартер броня'!D129</f>
        <v>Мастер</v>
      </c>
      <c r="O148" s="41" t="str">
        <f>'Бартер броня'!E129</f>
        <v>Боевая броня</v>
      </c>
      <c r="P148" s="41" t="str">
        <f t="shared" si="6"/>
        <v>Броня</v>
      </c>
      <c r="Q148" s="42">
        <f>IF(ISNUMBER('Бартер броня'!G134), 'Бартер броня'!G134, "")</f>
        <v>2390000</v>
      </c>
      <c r="R148" s="43">
        <v>1</v>
      </c>
      <c r="S148" s="41" t="s">
        <v>225</v>
      </c>
      <c r="T148" s="41" t="s">
        <v>598</v>
      </c>
      <c r="U148" s="44">
        <f t="shared" si="7"/>
        <v>1</v>
      </c>
      <c r="V148" s="44">
        <f>IF(U148=1,SUM($U$2:U148),"")</f>
        <v>147</v>
      </c>
    </row>
    <row r="149" spans="2:22">
      <c r="B149" s="47">
        <f>IFERROR(IF(MATCH(145,$V$2:$V$362,0)&gt;0,145,""),"")</f>
        <v>145</v>
      </c>
      <c r="C149" s="4" t="str">
        <f>IFERROR(INDEX($L$2:$Q$362,MATCH(145,$V$2:$V$362,0),2),"")</f>
        <v>Бронекостюм «Центурион»</v>
      </c>
      <c r="D149" s="48" t="str">
        <f>IFERROR(INDEX($L$2:$Q$362,MATCH(145,$V$2:$V$362,0),3),"")</f>
        <v>Мастер</v>
      </c>
      <c r="E149" s="47" t="str">
        <f>IFERROR(INDEX($L$2:$Q$362,MATCH(145,$V$2:$V$362,0),4),"")</f>
        <v>Боевая броня</v>
      </c>
      <c r="I149" s="46"/>
      <c r="L149" s="41">
        <f>'Бартер броня'!A136</f>
        <v>20</v>
      </c>
      <c r="M149" s="41" t="str">
        <f>'Бартер броня'!C136</f>
        <v>Бронекостюм «Скиф-5»</v>
      </c>
      <c r="N149" s="41" t="str">
        <f>'Бартер броня'!D136</f>
        <v>Мастер</v>
      </c>
      <c r="O149" s="41" t="str">
        <f>'Бартер броня'!E136</f>
        <v>Комбинированная броня</v>
      </c>
      <c r="P149" s="41" t="str">
        <f t="shared" si="6"/>
        <v>Броня</v>
      </c>
      <c r="Q149" s="42">
        <f>IF(ISNUMBER('Бартер броня'!G141), 'Бартер броня'!G141, "")</f>
        <v>2470000</v>
      </c>
      <c r="R149" s="43">
        <v>1</v>
      </c>
      <c r="S149" s="41" t="s">
        <v>227</v>
      </c>
      <c r="T149" s="41" t="s">
        <v>599</v>
      </c>
      <c r="U149" s="44">
        <f t="shared" si="7"/>
        <v>1</v>
      </c>
      <c r="V149" s="44">
        <f>IF(U149=1,SUM($U$2:U149),"")</f>
        <v>148</v>
      </c>
    </row>
    <row r="150" spans="2:22">
      <c r="B150" s="47">
        <f>IFERROR(IF(MATCH(146,$V$2:$V$362,0)&gt;0,146,""),"")</f>
        <v>146</v>
      </c>
      <c r="C150" s="4" t="str">
        <f>IFERROR(INDEX($L$2:$Q$362,MATCH(146,$V$2:$V$362,0),2),"")</f>
        <v>Экзоброня «Мул»</v>
      </c>
      <c r="D150" s="48" t="str">
        <f>IFERROR(INDEX($L$2:$Q$362,MATCH(146,$V$2:$V$362,0),3),"")</f>
        <v>Мастер</v>
      </c>
      <c r="E150" s="47" t="str">
        <f>IFERROR(INDEX($L$2:$Q$362,MATCH(146,$V$2:$V$362,0),4),"")</f>
        <v>Боевая броня</v>
      </c>
      <c r="I150" s="46"/>
      <c r="L150" s="41">
        <f>'Бартер броня'!A143</f>
        <v>21</v>
      </c>
      <c r="M150" s="41" t="str">
        <f>'Бартер броня'!C143</f>
        <v>УКАЗ АО-6 «Кочевник»</v>
      </c>
      <c r="N150" s="41" t="str">
        <f>'Бартер броня'!D143</f>
        <v>Мастер</v>
      </c>
      <c r="O150" s="41" t="str">
        <f>'Бартер броня'!E143</f>
        <v>Комбинированная броня</v>
      </c>
      <c r="P150" s="41" t="str">
        <f t="shared" si="6"/>
        <v>Броня</v>
      </c>
      <c r="Q150" s="42">
        <f>IF(ISNUMBER('Бартер броня'!G148), 'Бартер броня'!G148, "")</f>
        <v>2410000</v>
      </c>
      <c r="R150" s="43">
        <v>1</v>
      </c>
      <c r="S150" s="41" t="s">
        <v>229</v>
      </c>
      <c r="T150" s="41" t="s">
        <v>600</v>
      </c>
      <c r="U150" s="44">
        <f t="shared" si="7"/>
        <v>1</v>
      </c>
      <c r="V150" s="44">
        <f>IF(U150=1,SUM($U$2:U150),"")</f>
        <v>149</v>
      </c>
    </row>
    <row r="151" spans="2:22">
      <c r="B151" s="47">
        <f>IFERROR(IF(MATCH(147,$V$2:$V$362,0)&gt;0,147,""),"")</f>
        <v>147</v>
      </c>
      <c r="C151" s="4" t="str">
        <f>IFERROR(INDEX($L$2:$Q$362,MATCH(147,$V$2:$V$362,0),2),"")</f>
        <v>Экзоброня «Туз»</v>
      </c>
      <c r="D151" s="48" t="str">
        <f>IFERROR(INDEX($L$2:$Q$362,MATCH(147,$V$2:$V$362,0),3),"")</f>
        <v>Мастер</v>
      </c>
      <c r="E151" s="47" t="str">
        <f>IFERROR(INDEX($L$2:$Q$362,MATCH(147,$V$2:$V$362,0),4),"")</f>
        <v>Боевая броня</v>
      </c>
      <c r="I151" s="46"/>
      <c r="L151" s="41">
        <f>'Бартер броня'!A150</f>
        <v>22</v>
      </c>
      <c r="M151" s="41" t="str">
        <f>'Бартер броня'!C150</f>
        <v>Комбинезон «Сатурн»</v>
      </c>
      <c r="N151" s="41" t="str">
        <f>'Бартер броня'!D150</f>
        <v>Мастер</v>
      </c>
      <c r="O151" s="41" t="str">
        <f>'Бартер броня'!E150</f>
        <v>Научная броня</v>
      </c>
      <c r="P151" s="41" t="str">
        <f t="shared" si="6"/>
        <v>Броня</v>
      </c>
      <c r="Q151" s="42">
        <f>IF(ISNUMBER('Бартер броня'!G155), 'Бартер броня'!G155, "")</f>
        <v>2390000</v>
      </c>
      <c r="R151" s="43">
        <v>2</v>
      </c>
      <c r="S151" s="41" t="s">
        <v>601</v>
      </c>
      <c r="T151" s="41" t="s">
        <v>602</v>
      </c>
      <c r="U151" s="44">
        <f t="shared" si="7"/>
        <v>1</v>
      </c>
      <c r="V151" s="44">
        <f>IF(U151=1,SUM($U$2:U151),"")</f>
        <v>150</v>
      </c>
    </row>
    <row r="152" spans="2:22">
      <c r="B152" s="47">
        <f>IFERROR(IF(MATCH(148,$V$2:$V$362,0)&gt;0,148,""),"")</f>
        <v>148</v>
      </c>
      <c r="C152" s="4" t="str">
        <f>IFERROR(INDEX($L$2:$Q$362,MATCH(148,$V$2:$V$362,0),2),"")</f>
        <v>Бронекостюм «Скиф-5»</v>
      </c>
      <c r="D152" s="48" t="str">
        <f>IFERROR(INDEX($L$2:$Q$362,MATCH(148,$V$2:$V$362,0),3),"")</f>
        <v>Мастер</v>
      </c>
      <c r="E152" s="47" t="str">
        <f>IFERROR(INDEX($L$2:$Q$362,MATCH(148,$V$2:$V$362,0),4),"")</f>
        <v>Комбинированная броня</v>
      </c>
      <c r="I152" s="46"/>
      <c r="L152" s="41">
        <f>'Бартер броня'!A157</f>
        <v>23</v>
      </c>
      <c r="M152" s="41" t="str">
        <f>'Бартер броня'!C157</f>
        <v>Экзоброня «Зверобой»</v>
      </c>
      <c r="N152" s="41" t="str">
        <f>'Бартер броня'!D157</f>
        <v>Мастер</v>
      </c>
      <c r="O152" s="41" t="str">
        <f>'Бартер броня'!E157</f>
        <v>Боевая броня</v>
      </c>
      <c r="P152" s="41" t="str">
        <f t="shared" si="6"/>
        <v>Броня</v>
      </c>
      <c r="Q152" s="42">
        <f>IF(ISNUMBER('Бартер броня'!G162), 'Бартер броня'!G162, "")</f>
        <v>2350000</v>
      </c>
      <c r="R152" s="43">
        <v>1</v>
      </c>
      <c r="S152" s="41" t="s">
        <v>234</v>
      </c>
      <c r="T152" s="41" t="s">
        <v>603</v>
      </c>
      <c r="U152" s="44">
        <f t="shared" si="7"/>
        <v>1</v>
      </c>
      <c r="V152" s="44">
        <f>IF(U152=1,SUM($U$2:U152),"")</f>
        <v>151</v>
      </c>
    </row>
    <row r="153" spans="2:22">
      <c r="B153" s="47">
        <f>IFERROR(IF(MATCH(149,$V$2:$V$362,0)&gt;0,149,""),"")</f>
        <v>149</v>
      </c>
      <c r="C153" s="4" t="str">
        <f>IFERROR(INDEX($L$2:$Q$362,MATCH(149,$V$2:$V$362,0),2),"")</f>
        <v>УКАЗ АО-6 «Кочевник»</v>
      </c>
      <c r="D153" s="48" t="str">
        <f>IFERROR(INDEX($L$2:$Q$362,MATCH(149,$V$2:$V$362,0),3),"")</f>
        <v>Мастер</v>
      </c>
      <c r="E153" s="47" t="str">
        <f>IFERROR(INDEX($L$2:$Q$362,MATCH(149,$V$2:$V$362,0),4),"")</f>
        <v>Комбинированная броня</v>
      </c>
      <c r="I153" s="46"/>
      <c r="L153" s="41">
        <f>'Бартер броня'!A164</f>
        <v>24</v>
      </c>
      <c r="M153" s="41" t="str">
        <f>'Бартер броня'!C164</f>
        <v>Тяжелый бронекостюм «Легионер»</v>
      </c>
      <c r="N153" s="41" t="str">
        <f>'Бартер броня'!D164</f>
        <v>Ветеран</v>
      </c>
      <c r="O153" s="41" t="str">
        <f>'Бартер броня'!E164</f>
        <v>Боевая броня</v>
      </c>
      <c r="P153" s="41" t="str">
        <f t="shared" si="6"/>
        <v>Броня</v>
      </c>
      <c r="Q153" s="42">
        <f>IF(ISNUMBER('Бартер броня'!G169), 'Бартер броня'!G169, "")</f>
        <v>1240000</v>
      </c>
      <c r="R153" s="43">
        <v>3</v>
      </c>
      <c r="S153" s="41" t="s">
        <v>604</v>
      </c>
      <c r="T153" s="41" t="s">
        <v>605</v>
      </c>
      <c r="U153" s="44">
        <f t="shared" si="7"/>
        <v>1</v>
      </c>
      <c r="V153" s="44">
        <f>IF(U153=1,SUM($U$2:U153),"")</f>
        <v>152</v>
      </c>
    </row>
    <row r="154" spans="2:22">
      <c r="B154" s="47">
        <f>IFERROR(IF(MATCH(150,$V$2:$V$362,0)&gt;0,150,""),"")</f>
        <v>150</v>
      </c>
      <c r="C154" s="4" t="str">
        <f>IFERROR(INDEX($L$2:$Q$362,MATCH(150,$V$2:$V$362,0),2),"")</f>
        <v>Комбинезон «Сатурн»</v>
      </c>
      <c r="D154" s="48" t="str">
        <f>IFERROR(INDEX($L$2:$Q$362,MATCH(150,$V$2:$V$362,0),3),"")</f>
        <v>Мастер</v>
      </c>
      <c r="E154" s="47" t="str">
        <f>IFERROR(INDEX($L$2:$Q$362,MATCH(150,$V$2:$V$362,0),4),"")</f>
        <v>Научная броня</v>
      </c>
      <c r="I154" s="46"/>
      <c r="L154" s="41">
        <f>'Бартер броня'!A171</f>
        <v>25</v>
      </c>
      <c r="M154" s="41" t="str">
        <f>'Бартер броня'!C171</f>
        <v>Экзоброня «Масть»</v>
      </c>
      <c r="N154" s="41" t="str">
        <f>'Бартер броня'!D171</f>
        <v>Ветеран</v>
      </c>
      <c r="O154" s="41" t="str">
        <f>'Бартер броня'!E171</f>
        <v>Боевая броня</v>
      </c>
      <c r="P154" s="41" t="str">
        <f t="shared" si="6"/>
        <v>Броня</v>
      </c>
      <c r="Q154" s="42">
        <f>IF(ISNUMBER('Бартер броня'!G176), 'Бартер броня'!G176, "")</f>
        <v>1150000</v>
      </c>
      <c r="R154" s="43">
        <v>4</v>
      </c>
      <c r="S154" s="41" t="s">
        <v>606</v>
      </c>
      <c r="T154" s="41" t="s">
        <v>607</v>
      </c>
      <c r="U154" s="44">
        <f t="shared" si="7"/>
        <v>1</v>
      </c>
      <c r="V154" s="44">
        <f>IF(U154=1,SUM($U$2:U154),"")</f>
        <v>153</v>
      </c>
    </row>
    <row r="155" spans="2:22">
      <c r="B155" s="47">
        <f>IFERROR(IF(MATCH(151,$V$2:$V$362,0)&gt;0,151,""),"")</f>
        <v>151</v>
      </c>
      <c r="C155" s="4" t="str">
        <f>IFERROR(INDEX($L$2:$Q$362,MATCH(151,$V$2:$V$362,0),2),"")</f>
        <v>Экзоброня «Зверобой»</v>
      </c>
      <c r="D155" s="48" t="str">
        <f>IFERROR(INDEX($L$2:$Q$362,MATCH(151,$V$2:$V$362,0),3),"")</f>
        <v>Мастер</v>
      </c>
      <c r="E155" s="47" t="str">
        <f>IFERROR(INDEX($L$2:$Q$362,MATCH(151,$V$2:$V$362,0),4),"")</f>
        <v>Боевая броня</v>
      </c>
      <c r="I155" s="46"/>
      <c r="L155" s="41">
        <f>'Бартер броня'!A178</f>
        <v>26</v>
      </c>
      <c r="M155" s="41" t="str">
        <f>'Бартер броня'!C178</f>
        <v>Экзоброня «Самсон»</v>
      </c>
      <c r="N155" s="41" t="str">
        <f>'Бартер броня'!D178</f>
        <v>Ветеран</v>
      </c>
      <c r="O155" s="41" t="str">
        <f>'Бартер броня'!E178</f>
        <v>Боевая броня</v>
      </c>
      <c r="P155" s="41" t="str">
        <f t="shared" si="6"/>
        <v>Броня</v>
      </c>
      <c r="Q155" s="42">
        <f>IF(ISNUMBER('Бартер броня'!G183), 'Бартер броня'!G183, "")</f>
        <v>1150000</v>
      </c>
      <c r="R155" s="43">
        <v>4</v>
      </c>
      <c r="S155" s="41" t="s">
        <v>608</v>
      </c>
      <c r="T155" s="41" t="s">
        <v>609</v>
      </c>
      <c r="U155" s="44">
        <f t="shared" si="7"/>
        <v>1</v>
      </c>
      <c r="V155" s="44">
        <f>IF(U155=1,SUM($U$2:U155),"")</f>
        <v>154</v>
      </c>
    </row>
    <row r="156" spans="2:22">
      <c r="B156" s="47">
        <f>IFERROR(IF(MATCH(152,$V$2:$V$362,0)&gt;0,152,""),"")</f>
        <v>152</v>
      </c>
      <c r="C156" s="5" t="str">
        <f>IFERROR(INDEX($L$2:$Q$362,MATCH(152,$V$2:$V$362,0),2),"")</f>
        <v>Тяжелый бронекостюм «Легионер»</v>
      </c>
      <c r="D156" s="49" t="str">
        <f>IFERROR(INDEX($L$2:$Q$362,MATCH(152,$V$2:$V$362,0),3),"")</f>
        <v>Ветеран</v>
      </c>
      <c r="E156" s="47" t="str">
        <f>IFERROR(INDEX($L$2:$Q$362,MATCH(152,$V$2:$V$362,0),4),"")</f>
        <v>Боевая броня</v>
      </c>
      <c r="I156" s="46"/>
      <c r="L156" s="41">
        <f>'Бартер броня'!A185</f>
        <v>27</v>
      </c>
      <c r="M156" s="41" t="str">
        <f>'Бартер броня'!C185</f>
        <v>Бронекостюм «Скиф-4»</v>
      </c>
      <c r="N156" s="41" t="str">
        <f>'Бартер броня'!D185</f>
        <v>Ветеран</v>
      </c>
      <c r="O156" s="41" t="str">
        <f>'Бартер броня'!E185</f>
        <v>Комбинированная броня</v>
      </c>
      <c r="P156" s="41" t="str">
        <f t="shared" si="6"/>
        <v>Броня</v>
      </c>
      <c r="Q156" s="42">
        <f>IF(ISNUMBER('Бартер броня'!G190), 'Бартер броня'!G190, "")</f>
        <v>1180000</v>
      </c>
      <c r="R156" s="43">
        <v>3</v>
      </c>
      <c r="S156" s="41" t="s">
        <v>610</v>
      </c>
      <c r="T156" s="41" t="s">
        <v>611</v>
      </c>
      <c r="U156" s="44">
        <f t="shared" si="7"/>
        <v>1</v>
      </c>
      <c r="V156" s="44">
        <f>IF(U156=1,SUM($U$2:U156),"")</f>
        <v>155</v>
      </c>
    </row>
    <row r="157" spans="2:22">
      <c r="B157" s="47">
        <f>IFERROR(IF(MATCH(153,$V$2:$V$362,0)&gt;0,153,""),"")</f>
        <v>153</v>
      </c>
      <c r="C157" s="5" t="str">
        <f>IFERROR(INDEX($L$2:$Q$362,MATCH(153,$V$2:$V$362,0),2),"")</f>
        <v>Экзоброня «Масть»</v>
      </c>
      <c r="D157" s="49" t="str">
        <f>IFERROR(INDEX($L$2:$Q$362,MATCH(153,$V$2:$V$362,0),3),"")</f>
        <v>Ветеран</v>
      </c>
      <c r="E157" s="47" t="str">
        <f>IFERROR(INDEX($L$2:$Q$362,MATCH(153,$V$2:$V$362,0),4),"")</f>
        <v>Боевая броня</v>
      </c>
      <c r="I157" s="46"/>
      <c r="L157" s="41">
        <f>'Бартер броня'!A192</f>
        <v>28</v>
      </c>
      <c r="M157" s="41" t="str">
        <f>'Бартер броня'!C192</f>
        <v>УКАЗ АО-5 «Пилигрим»</v>
      </c>
      <c r="N157" s="41" t="str">
        <f>'Бартер броня'!D192</f>
        <v>Ветеран</v>
      </c>
      <c r="O157" s="41" t="str">
        <f>'Бартер броня'!E192</f>
        <v>Комбинированная броня</v>
      </c>
      <c r="P157" s="41" t="str">
        <f t="shared" si="6"/>
        <v>Броня</v>
      </c>
      <c r="Q157" s="42">
        <f>IF(ISNUMBER('Бартер броня'!G197), 'Бартер броня'!G197, "")</f>
        <v>1160000</v>
      </c>
      <c r="R157" s="43">
        <v>3</v>
      </c>
      <c r="S157" s="41" t="s">
        <v>612</v>
      </c>
      <c r="T157" s="41" t="s">
        <v>613</v>
      </c>
      <c r="U157" s="44">
        <f t="shared" si="7"/>
        <v>1</v>
      </c>
      <c r="V157" s="44">
        <f>IF(U157=1,SUM($U$2:U157),"")</f>
        <v>156</v>
      </c>
    </row>
    <row r="158" spans="2:22">
      <c r="B158" s="47">
        <f>IFERROR(IF(MATCH(154,$V$2:$V$362,0)&gt;0,154,""),"")</f>
        <v>154</v>
      </c>
      <c r="C158" s="5" t="str">
        <f>IFERROR(INDEX($L$2:$Q$362,MATCH(154,$V$2:$V$362,0),2),"")</f>
        <v>Экзоброня «Самсон»</v>
      </c>
      <c r="D158" s="49" t="str">
        <f>IFERROR(INDEX($L$2:$Q$362,MATCH(154,$V$2:$V$362,0),3),"")</f>
        <v>Ветеран</v>
      </c>
      <c r="E158" s="47" t="str">
        <f>IFERROR(INDEX($L$2:$Q$362,MATCH(154,$V$2:$V$362,0),4),"")</f>
        <v>Боевая броня</v>
      </c>
      <c r="I158" s="46"/>
      <c r="L158" s="41">
        <f>'Бартер броня'!A199</f>
        <v>29</v>
      </c>
      <c r="M158" s="41" t="str">
        <f>'Бартер броня'!C199</f>
        <v>Комбинезон «Жнец»</v>
      </c>
      <c r="N158" s="41" t="str">
        <f>'Бартер броня'!D199</f>
        <v>Ветеран</v>
      </c>
      <c r="O158" s="41" t="str">
        <f>'Бартер броня'!E199</f>
        <v>Научная броня</v>
      </c>
      <c r="P158" s="41" t="str">
        <f t="shared" si="6"/>
        <v>Броня</v>
      </c>
      <c r="Q158" s="42">
        <f>IF(ISNUMBER('Бартер броня'!G204), 'Бартер броня'!G204, "")</f>
        <v>1150000</v>
      </c>
      <c r="R158" s="43">
        <v>4</v>
      </c>
      <c r="S158" s="41" t="s">
        <v>614</v>
      </c>
      <c r="T158" s="41" t="s">
        <v>615</v>
      </c>
      <c r="U158" s="44">
        <f t="shared" si="7"/>
        <v>1</v>
      </c>
      <c r="V158" s="44">
        <f>IF(U158=1,SUM($U$2:U158),"")</f>
        <v>157</v>
      </c>
    </row>
    <row r="159" spans="2:22">
      <c r="B159" s="47">
        <f>IFERROR(IF(MATCH(155,$V$2:$V$362,0)&gt;0,155,""),"")</f>
        <v>155</v>
      </c>
      <c r="C159" s="5" t="str">
        <f>IFERROR(INDEX($L$2:$Q$362,MATCH(155,$V$2:$V$362,0),2),"")</f>
        <v>Бронекостюм «Скиф-4»</v>
      </c>
      <c r="D159" s="49" t="str">
        <f>IFERROR(INDEX($L$2:$Q$362,MATCH(155,$V$2:$V$362,0),3),"")</f>
        <v>Ветеран</v>
      </c>
      <c r="E159" s="47" t="str">
        <f>IFERROR(INDEX($L$2:$Q$362,MATCH(155,$V$2:$V$362,0),4),"")</f>
        <v>Комбинированная броня</v>
      </c>
      <c r="I159" s="46"/>
      <c r="L159" s="41">
        <f>'Бартер броня'!A206</f>
        <v>30</v>
      </c>
      <c r="M159" s="41" t="str">
        <f>'Бартер броня'!C206</f>
        <v>Комбинезон «Уран»</v>
      </c>
      <c r="N159" s="41" t="str">
        <f>'Бартер броня'!D206</f>
        <v>Ветеран</v>
      </c>
      <c r="O159" s="41" t="str">
        <f>'Бартер броня'!E206</f>
        <v>Научная броня</v>
      </c>
      <c r="P159" s="41" t="str">
        <f t="shared" si="6"/>
        <v>Броня</v>
      </c>
      <c r="Q159" s="42">
        <f>IF(ISNUMBER('Бартер броня'!G211), 'Бартер броня'!G211, "")</f>
        <v>1150000</v>
      </c>
      <c r="R159" s="43">
        <v>4</v>
      </c>
      <c r="S159" s="41" t="s">
        <v>616</v>
      </c>
      <c r="T159" s="41" t="s">
        <v>617</v>
      </c>
      <c r="U159" s="44">
        <f t="shared" si="7"/>
        <v>1</v>
      </c>
      <c r="V159" s="44">
        <f>IF(U159=1,SUM($U$2:U159),"")</f>
        <v>158</v>
      </c>
    </row>
    <row r="160" spans="2:22">
      <c r="B160" s="47">
        <f>IFERROR(IF(MATCH(156,$V$2:$V$362,0)&gt;0,156,""),"")</f>
        <v>156</v>
      </c>
      <c r="C160" s="5" t="str">
        <f>IFERROR(INDEX($L$2:$Q$362,MATCH(156,$V$2:$V$362,0),2),"")</f>
        <v>УКАЗ АО-5 «Пилигрим»</v>
      </c>
      <c r="D160" s="49" t="str">
        <f>IFERROR(INDEX($L$2:$Q$362,MATCH(156,$V$2:$V$362,0),3),"")</f>
        <v>Ветеран</v>
      </c>
      <c r="E160" s="47" t="str">
        <f>IFERROR(INDEX($L$2:$Q$362,MATCH(156,$V$2:$V$362,0),4),"")</f>
        <v>Комбинированная броня</v>
      </c>
      <c r="I160" s="46"/>
      <c r="L160" s="41">
        <f>'Бартер броня'!A213</f>
        <v>31</v>
      </c>
      <c r="M160" s="41" t="str">
        <f>'Бартер броня'!C213</f>
        <v>Экзоброня «Егерь»</v>
      </c>
      <c r="N160" s="41" t="str">
        <f>'Бартер броня'!D213</f>
        <v>Ветеран</v>
      </c>
      <c r="O160" s="41" t="str">
        <f>'Бартер броня'!E213</f>
        <v>Боевая броня</v>
      </c>
      <c r="P160" s="41" t="str">
        <f t="shared" si="6"/>
        <v>Броня</v>
      </c>
      <c r="Q160" s="42">
        <f>IF(ISNUMBER('Бартер броня'!G218), 'Бартер броня'!G218, "")</f>
        <v>1130000</v>
      </c>
      <c r="R160" s="43">
        <v>3</v>
      </c>
      <c r="S160" s="41" t="s">
        <v>618</v>
      </c>
      <c r="T160" s="41" t="s">
        <v>619</v>
      </c>
      <c r="U160" s="44">
        <f t="shared" si="7"/>
        <v>1</v>
      </c>
      <c r="V160" s="44">
        <f>IF(U160=1,SUM($U$2:U160),"")</f>
        <v>159</v>
      </c>
    </row>
    <row r="161" spans="2:22">
      <c r="B161" s="47">
        <f>IFERROR(IF(MATCH(157,$V$2:$V$362,0)&gt;0,157,""),"")</f>
        <v>157</v>
      </c>
      <c r="C161" s="5" t="str">
        <f>IFERROR(INDEX($L$2:$Q$362,MATCH(157,$V$2:$V$362,0),2),"")</f>
        <v>Комбинезон «Жнец»</v>
      </c>
      <c r="D161" s="49" t="str">
        <f>IFERROR(INDEX($L$2:$Q$362,MATCH(157,$V$2:$V$362,0),3),"")</f>
        <v>Ветеран</v>
      </c>
      <c r="E161" s="47" t="str">
        <f>IFERROR(INDEX($L$2:$Q$362,MATCH(157,$V$2:$V$362,0),4),"")</f>
        <v>Научная броня</v>
      </c>
      <c r="I161" s="46"/>
      <c r="L161" s="41">
        <f>'Бартер броня'!A220</f>
        <v>32</v>
      </c>
      <c r="M161" s="41" t="str">
        <f>'Бартер броня'!C220</f>
        <v>Бронекостюм «Ош»</v>
      </c>
      <c r="N161" s="41" t="str">
        <f>'Бартер броня'!D220</f>
        <v>Ветеран</v>
      </c>
      <c r="O161" s="41" t="str">
        <f>'Бартер броня'!E220</f>
        <v>Боевая броня</v>
      </c>
      <c r="P161" s="41" t="str">
        <f t="shared" si="6"/>
        <v>Броня</v>
      </c>
      <c r="Q161" s="42">
        <f>IF(ISNUMBER('Бартер броня'!G225), 'Бартер броня'!G225, "")</f>
        <v>370000</v>
      </c>
      <c r="R161" s="43">
        <v>1</v>
      </c>
      <c r="S161" s="41" t="s">
        <v>242</v>
      </c>
      <c r="T161" s="41" t="s">
        <v>620</v>
      </c>
      <c r="U161" s="44">
        <f t="shared" si="7"/>
        <v>1</v>
      </c>
      <c r="V161" s="44">
        <f>IF(U161=1,SUM($U$2:U161),"")</f>
        <v>160</v>
      </c>
    </row>
    <row r="162" spans="2:22">
      <c r="B162" s="47">
        <f>IFERROR(IF(MATCH(158,$V$2:$V$362,0)&gt;0,158,""),"")</f>
        <v>158</v>
      </c>
      <c r="C162" s="5" t="str">
        <f>IFERROR(INDEX($L$2:$Q$362,MATCH(158,$V$2:$V$362,0),2),"")</f>
        <v>Комбинезон «Уран»</v>
      </c>
      <c r="D162" s="49" t="str">
        <f>IFERROR(INDEX($L$2:$Q$362,MATCH(158,$V$2:$V$362,0),3),"")</f>
        <v>Ветеран</v>
      </c>
      <c r="E162" s="47" t="str">
        <f>IFERROR(INDEX($L$2:$Q$362,MATCH(158,$V$2:$V$362,0),4),"")</f>
        <v>Научная броня</v>
      </c>
      <c r="I162" s="46"/>
      <c r="L162" s="41">
        <f>'Бартер броня'!A227</f>
        <v>33</v>
      </c>
      <c r="M162" s="41" t="str">
        <f>'Бартер броня'!C227</f>
        <v>УКАЗ АО-4 «Рейдер»</v>
      </c>
      <c r="N162" s="41" t="str">
        <f>'Бартер броня'!D227</f>
        <v>Ветеран</v>
      </c>
      <c r="O162" s="41" t="str">
        <f>'Бартер броня'!E227</f>
        <v>Комбинированная броня</v>
      </c>
      <c r="P162" s="41" t="str">
        <f t="shared" ref="P162:P186" si="8">"Броня"</f>
        <v>Броня</v>
      </c>
      <c r="Q162" s="42">
        <f>IF(ISNUMBER('Бартер броня'!G232), 'Бартер броня'!G232, "")</f>
        <v>341000</v>
      </c>
      <c r="R162" s="43">
        <v>1</v>
      </c>
      <c r="S162" s="41" t="s">
        <v>243</v>
      </c>
      <c r="T162" s="41" t="s">
        <v>621</v>
      </c>
      <c r="U162" s="44">
        <f t="shared" si="7"/>
        <v>1</v>
      </c>
      <c r="V162" s="44">
        <f>IF(U162=1,SUM($U$2:U162),"")</f>
        <v>161</v>
      </c>
    </row>
    <row r="163" spans="2:22">
      <c r="B163" s="47">
        <f>IFERROR(IF(MATCH(159,$V$2:$V$362,0)&gt;0,159,""),"")</f>
        <v>159</v>
      </c>
      <c r="C163" s="5" t="str">
        <f>IFERROR(INDEX($L$2:$Q$362,MATCH(159,$V$2:$V$362,0),2),"")</f>
        <v>Экзоброня «Егерь»</v>
      </c>
      <c r="D163" s="49" t="str">
        <f>IFERROR(INDEX($L$2:$Q$362,MATCH(159,$V$2:$V$362,0),3),"")</f>
        <v>Ветеран</v>
      </c>
      <c r="E163" s="47" t="str">
        <f>IFERROR(INDEX($L$2:$Q$362,MATCH(159,$V$2:$V$362,0),4),"")</f>
        <v>Боевая броня</v>
      </c>
      <c r="I163" s="46"/>
      <c r="L163" s="41">
        <f>'Бартер броня'!A234</f>
        <v>34</v>
      </c>
      <c r="M163" s="41" t="str">
        <f>'Бартер броня'!C234</f>
        <v>Тяжелый бронекостюм «Восход»</v>
      </c>
      <c r="N163" s="41" t="str">
        <f>'Бартер броня'!D234</f>
        <v>Ветеран</v>
      </c>
      <c r="O163" s="41" t="str">
        <f>'Бартер броня'!E234</f>
        <v>Боевая броня</v>
      </c>
      <c r="P163" s="41" t="str">
        <f t="shared" si="8"/>
        <v>Броня</v>
      </c>
      <c r="Q163" s="42">
        <f>IF(ISNUMBER('Бартер броня'!G239), 'Бартер броня'!G239, "")</f>
        <v>330000</v>
      </c>
      <c r="R163" s="43">
        <v>2</v>
      </c>
      <c r="S163" s="41" t="s">
        <v>622</v>
      </c>
      <c r="T163" s="41" t="s">
        <v>623</v>
      </c>
      <c r="U163" s="44">
        <f t="shared" si="7"/>
        <v>1</v>
      </c>
      <c r="V163" s="44">
        <f>IF(U163=1,SUM($U$2:U163),"")</f>
        <v>162</v>
      </c>
    </row>
    <row r="164" spans="2:22">
      <c r="B164" s="47">
        <f>IFERROR(IF(MATCH(160,$V$2:$V$362,0)&gt;0,160,""),"")</f>
        <v>160</v>
      </c>
      <c r="C164" s="5" t="str">
        <f>IFERROR(INDEX($L$2:$Q$362,MATCH(160,$V$2:$V$362,0),2),"")</f>
        <v>Бронекостюм «Ош»</v>
      </c>
      <c r="D164" s="49" t="str">
        <f>IFERROR(INDEX($L$2:$Q$362,MATCH(160,$V$2:$V$362,0),3),"")</f>
        <v>Ветеран</v>
      </c>
      <c r="E164" s="47" t="str">
        <f>IFERROR(INDEX($L$2:$Q$362,MATCH(160,$V$2:$V$362,0),4),"")</f>
        <v>Боевая броня</v>
      </c>
      <c r="I164" s="46"/>
      <c r="L164" s="41">
        <f>'Бартер броня'!A241</f>
        <v>35</v>
      </c>
      <c r="M164" s="41" t="str">
        <f>'Бартер броня'!C241</f>
        <v>Tяжелый бронекостюм «Громила»</v>
      </c>
      <c r="N164" s="41" t="str">
        <f>'Бартер броня'!D241</f>
        <v>Ветеран</v>
      </c>
      <c r="O164" s="41" t="str">
        <f>'Бартер броня'!E241</f>
        <v>Боевая броня</v>
      </c>
      <c r="P164" s="41" t="str">
        <f t="shared" si="8"/>
        <v>Броня</v>
      </c>
      <c r="Q164" s="42">
        <f>IF(ISNUMBER('Бартер броня'!G246), 'Бартер броня'!G246, "")</f>
        <v>330000</v>
      </c>
      <c r="R164" s="43">
        <v>2</v>
      </c>
      <c r="S164" s="41" t="s">
        <v>624</v>
      </c>
      <c r="T164" s="41" t="s">
        <v>625</v>
      </c>
      <c r="U164" s="44">
        <f t="shared" si="7"/>
        <v>1</v>
      </c>
      <c r="V164" s="44">
        <f>IF(U164=1,SUM($U$2:U164),"")</f>
        <v>163</v>
      </c>
    </row>
    <row r="165" spans="2:22">
      <c r="B165" s="47">
        <f>IFERROR(IF(MATCH(161,$V$2:$V$362,0)&gt;0,161,""),"")</f>
        <v>161</v>
      </c>
      <c r="C165" s="5" t="str">
        <f>IFERROR(INDEX($L$2:$Q$362,MATCH(161,$V$2:$V$362,0),2),"")</f>
        <v>УКАЗ АО-4 «Рейдер»</v>
      </c>
      <c r="D165" s="49" t="str">
        <f>IFERROR(INDEX($L$2:$Q$362,MATCH(161,$V$2:$V$362,0),3),"")</f>
        <v>Ветеран</v>
      </c>
      <c r="E165" s="47" t="str">
        <f>IFERROR(INDEX($L$2:$Q$362,MATCH(161,$V$2:$V$362,0),4),"")</f>
        <v>Комбинированная броня</v>
      </c>
      <c r="I165" s="46"/>
      <c r="L165" s="41">
        <f>'Бартер броня'!A248</f>
        <v>36</v>
      </c>
      <c r="M165" s="41" t="str">
        <f>'Бартер броня'!C248</f>
        <v>КИМ-99М «Малахит»</v>
      </c>
      <c r="N165" s="41" t="str">
        <f>'Бартер броня'!D248</f>
        <v>Ветеран</v>
      </c>
      <c r="O165" s="41" t="str">
        <f>'Бартер броня'!E248</f>
        <v>Научная броня</v>
      </c>
      <c r="P165" s="41" t="str">
        <f t="shared" si="8"/>
        <v>Броня</v>
      </c>
      <c r="Q165" s="42">
        <f>IF(ISNUMBER('Бартер броня'!G253), 'Бартер броня'!G253, "")</f>
        <v>341000</v>
      </c>
      <c r="R165" s="43">
        <v>1</v>
      </c>
      <c r="S165" s="41" t="s">
        <v>246</v>
      </c>
      <c r="T165" s="41" t="s">
        <v>626</v>
      </c>
      <c r="U165" s="44">
        <f t="shared" si="7"/>
        <v>1</v>
      </c>
      <c r="V165" s="44">
        <f>IF(U165=1,SUM($U$2:U165),"")</f>
        <v>164</v>
      </c>
    </row>
    <row r="166" spans="2:22">
      <c r="B166" s="47">
        <f>IFERROR(IF(MATCH(162,$V$2:$V$362,0)&gt;0,162,""),"")</f>
        <v>162</v>
      </c>
      <c r="C166" s="5" t="str">
        <f>IFERROR(INDEX($L$2:$Q$362,MATCH(162,$V$2:$V$362,0),2),"")</f>
        <v>Тяжелый бронекостюм «Восход»</v>
      </c>
      <c r="D166" s="49" t="str">
        <f>IFERROR(INDEX($L$2:$Q$362,MATCH(162,$V$2:$V$362,0),3),"")</f>
        <v>Ветеран</v>
      </c>
      <c r="E166" s="47" t="str">
        <f>IFERROR(INDEX($L$2:$Q$362,MATCH(162,$V$2:$V$362,0),4),"")</f>
        <v>Боевая броня</v>
      </c>
      <c r="I166" s="46"/>
      <c r="L166" s="41">
        <f>'Бартер броня'!A255</f>
        <v>37</v>
      </c>
      <c r="M166" s="41" t="str">
        <f>'Бартер броня'!C255</f>
        <v>Бронекостюм «Скиф-2м»</v>
      </c>
      <c r="N166" s="41" t="str">
        <f>'Бартер броня'!D255</f>
        <v>Ветеран</v>
      </c>
      <c r="O166" s="41" t="str">
        <f>'Бартер броня'!E255</f>
        <v>Комбинированная броня</v>
      </c>
      <c r="P166" s="41" t="str">
        <f t="shared" si="8"/>
        <v>Броня</v>
      </c>
      <c r="Q166" s="42">
        <f>IF(ISNUMBER('Бартер броня'!G260), 'Бартер броня'!G260, "")</f>
        <v>336000</v>
      </c>
      <c r="R166" s="43">
        <v>2</v>
      </c>
      <c r="S166" s="41" t="s">
        <v>627</v>
      </c>
      <c r="T166" s="41" t="s">
        <v>628</v>
      </c>
      <c r="U166" s="44">
        <f t="shared" si="7"/>
        <v>1</v>
      </c>
      <c r="V166" s="44">
        <f>IF(U166=1,SUM($U$2:U166),"")</f>
        <v>165</v>
      </c>
    </row>
    <row r="167" spans="2:22">
      <c r="B167" s="47">
        <f>IFERROR(IF(MATCH(163,$V$2:$V$362,0)&gt;0,163,""),"")</f>
        <v>163</v>
      </c>
      <c r="C167" s="5" t="str">
        <f>IFERROR(INDEX($L$2:$Q$362,MATCH(163,$V$2:$V$362,0),2),"")</f>
        <v>Tяжелый бронекостюм «Громила»</v>
      </c>
      <c r="D167" s="49" t="str">
        <f>IFERROR(INDEX($L$2:$Q$362,MATCH(163,$V$2:$V$362,0),3),"")</f>
        <v>Ветеран</v>
      </c>
      <c r="E167" s="47" t="str">
        <f>IFERROR(INDEX($L$2:$Q$362,MATCH(163,$V$2:$V$362,0),4),"")</f>
        <v>Боевая броня</v>
      </c>
      <c r="I167" s="46"/>
      <c r="L167" s="41">
        <f>'Бартер броня'!A262</f>
        <v>38</v>
      </c>
      <c r="M167" s="41" t="str">
        <f>'Бартер броня'!C262</f>
        <v>Бронекостюм «Гоплит»</v>
      </c>
      <c r="N167" s="41" t="str">
        <f>'Бартер броня'!D262</f>
        <v>Ветеран</v>
      </c>
      <c r="O167" s="41" t="str">
        <f>'Бартер броня'!E262</f>
        <v>Боевая броня</v>
      </c>
      <c r="P167" s="41" t="str">
        <f t="shared" si="8"/>
        <v>Броня</v>
      </c>
      <c r="Q167" s="42">
        <f>IF(ISNUMBER('Бартер броня'!G267), 'Бартер броня'!G267, "")</f>
        <v>336000</v>
      </c>
      <c r="R167" s="43">
        <v>1</v>
      </c>
      <c r="S167" s="41" t="s">
        <v>247</v>
      </c>
      <c r="T167" s="41" t="s">
        <v>629</v>
      </c>
      <c r="U167" s="44">
        <f t="shared" si="7"/>
        <v>1</v>
      </c>
      <c r="V167" s="44">
        <f>IF(U167=1,SUM($U$2:U167),"")</f>
        <v>166</v>
      </c>
    </row>
    <row r="168" spans="2:22">
      <c r="B168" s="47">
        <f>IFERROR(IF(MATCH(164,$V$2:$V$362,0)&gt;0,164,""),"")</f>
        <v>164</v>
      </c>
      <c r="C168" s="5" t="str">
        <f>IFERROR(INDEX($L$2:$Q$362,MATCH(164,$V$2:$V$362,0),2),"")</f>
        <v>КИМ-99М «Малахит»</v>
      </c>
      <c r="D168" s="49" t="str">
        <f>IFERROR(INDEX($L$2:$Q$362,MATCH(164,$V$2:$V$362,0),3),"")</f>
        <v>Ветеран</v>
      </c>
      <c r="E168" s="47" t="str">
        <f>IFERROR(INDEX($L$2:$Q$362,MATCH(164,$V$2:$V$362,0),4),"")</f>
        <v>Научная броня</v>
      </c>
      <c r="I168" s="46"/>
      <c r="L168" s="41">
        <f>'Бартер броня'!A269</f>
        <v>39</v>
      </c>
      <c r="M168" s="41" t="str">
        <f>'Бартер броня'!C269</f>
        <v>Бронекостюм «Ворса»</v>
      </c>
      <c r="N168" s="41" t="str">
        <f>'Бартер броня'!D269</f>
        <v>Сталкер</v>
      </c>
      <c r="O168" s="41" t="str">
        <f>'Бартер броня'!E269</f>
        <v>Боевая броня</v>
      </c>
      <c r="P168" s="41" t="str">
        <f t="shared" si="8"/>
        <v>Броня</v>
      </c>
      <c r="Q168" s="42">
        <f>IF(ISNUMBER('Бартер броня'!G274), 'Бартер броня'!G274, "")</f>
        <v>70900</v>
      </c>
      <c r="R168" s="43">
        <v>2</v>
      </c>
      <c r="S168" s="41" t="s">
        <v>248</v>
      </c>
      <c r="T168" s="41" t="s">
        <v>630</v>
      </c>
      <c r="U168" s="44">
        <f t="shared" si="7"/>
        <v>1</v>
      </c>
      <c r="V168" s="44">
        <f>IF(U168=1,SUM($U$2:U168),"")</f>
        <v>167</v>
      </c>
    </row>
    <row r="169" spans="2:22">
      <c r="B169" s="47">
        <f>IFERROR(IF(MATCH(165,$V$2:$V$362,0)&gt;0,165,""),"")</f>
        <v>165</v>
      </c>
      <c r="C169" s="5" t="str">
        <f>IFERROR(INDEX($L$2:$Q$362,MATCH(165,$V$2:$V$362,0),2),"")</f>
        <v>Бронекостюм «Скиф-2м»</v>
      </c>
      <c r="D169" s="49" t="str">
        <f>IFERROR(INDEX($L$2:$Q$362,MATCH(165,$V$2:$V$362,0),3),"")</f>
        <v>Ветеран</v>
      </c>
      <c r="E169" s="47" t="str">
        <f>IFERROR(INDEX($L$2:$Q$362,MATCH(165,$V$2:$V$362,0),4),"")</f>
        <v>Комбинированная броня</v>
      </c>
      <c r="I169" s="46"/>
      <c r="L169" s="41">
        <f>'Бартер броня'!A276</f>
        <v>40</v>
      </c>
      <c r="M169" s="41" t="str">
        <f>'Бартер броня'!C276</f>
        <v>КИМ-99 «Янтарь»</v>
      </c>
      <c r="N169" s="41" t="str">
        <f>'Бартер броня'!D276</f>
        <v>Сталкер</v>
      </c>
      <c r="O169" s="41" t="str">
        <f>'Бартер броня'!E276</f>
        <v>Научная броня</v>
      </c>
      <c r="P169" s="41" t="str">
        <f t="shared" si="8"/>
        <v>Броня</v>
      </c>
      <c r="Q169" s="42">
        <f>IF(ISNUMBER('Бартер броня'!G281), 'Бартер броня'!G281, "")</f>
        <v>62200</v>
      </c>
      <c r="R169" s="43">
        <v>3</v>
      </c>
      <c r="S169" s="41" t="s">
        <v>631</v>
      </c>
      <c r="T169" s="41" t="s">
        <v>632</v>
      </c>
      <c r="U169" s="44">
        <f t="shared" si="7"/>
        <v>1</v>
      </c>
      <c r="V169" s="44">
        <f>IF(U169=1,SUM($U$2:U169),"")</f>
        <v>168</v>
      </c>
    </row>
    <row r="170" spans="2:22">
      <c r="B170" s="47">
        <f>IFERROR(IF(MATCH(166,$V$2:$V$362,0)&gt;0,166,""),"")</f>
        <v>166</v>
      </c>
      <c r="C170" s="5" t="str">
        <f>IFERROR(INDEX($L$2:$Q$362,MATCH(166,$V$2:$V$362,0),2),"")</f>
        <v>Бронекостюм «Гоплит»</v>
      </c>
      <c r="D170" s="49" t="str">
        <f>IFERROR(INDEX($L$2:$Q$362,MATCH(166,$V$2:$V$362,0),3),"")</f>
        <v>Ветеран</v>
      </c>
      <c r="E170" s="47" t="str">
        <f>IFERROR(INDEX($L$2:$Q$362,MATCH(166,$V$2:$V$362,0),4),"")</f>
        <v>Боевая броня</v>
      </c>
      <c r="I170" s="46"/>
      <c r="L170" s="41">
        <f>'Бартер броня'!A283</f>
        <v>41</v>
      </c>
      <c r="M170" s="41" t="str">
        <f>'Бартер броня'!C283</f>
        <v>Костюм АО-3 «Искатель»</v>
      </c>
      <c r="N170" s="41" t="str">
        <f>'Бартер броня'!D283</f>
        <v>Сталкер</v>
      </c>
      <c r="O170" s="41" t="str">
        <f>'Бартер броня'!E283</f>
        <v>Комбинированная броня</v>
      </c>
      <c r="P170" s="41" t="str">
        <f t="shared" si="8"/>
        <v>Броня</v>
      </c>
      <c r="Q170" s="42">
        <f>IF(ISNUMBER('Бартер броня'!G288), 'Бартер броня'!G288, "")</f>
        <v>65500</v>
      </c>
      <c r="R170" s="43">
        <v>2</v>
      </c>
      <c r="S170" s="41" t="s">
        <v>251</v>
      </c>
      <c r="T170" s="41" t="s">
        <v>633</v>
      </c>
      <c r="U170" s="44">
        <f t="shared" si="7"/>
        <v>1</v>
      </c>
      <c r="V170" s="44">
        <f>IF(U170=1,SUM($U$2:U170),"")</f>
        <v>169</v>
      </c>
    </row>
    <row r="171" spans="2:22">
      <c r="B171" s="47">
        <f>IFERROR(IF(MATCH(167,$V$2:$V$362,0)&gt;0,167,""),"")</f>
        <v>167</v>
      </c>
      <c r="C171" s="6" t="str">
        <f>IFERROR(INDEX($L$2:$Q$362,MATCH(167,$V$2:$V$362,0),2),"")</f>
        <v>Бронекостюм «Ворса»</v>
      </c>
      <c r="D171" s="50" t="str">
        <f>IFERROR(INDEX($L$2:$Q$362,MATCH(167,$V$2:$V$362,0),3),"")</f>
        <v>Сталкер</v>
      </c>
      <c r="E171" s="47" t="str">
        <f>IFERROR(INDEX($L$2:$Q$362,MATCH(167,$V$2:$V$362,0),4),"")</f>
        <v>Боевая броня</v>
      </c>
      <c r="I171" s="46"/>
      <c r="L171" s="41">
        <f>'Бартер броня'!A290</f>
        <v>42</v>
      </c>
      <c r="M171" s="41" t="str">
        <f>'Бартер броня'!C290</f>
        <v>Костюм «Пересмешник»</v>
      </c>
      <c r="N171" s="41" t="str">
        <f>'Бартер броня'!D290</f>
        <v>Сталкер</v>
      </c>
      <c r="O171" s="41" t="str">
        <f>'Бартер броня'!E290</f>
        <v>Комбинированная броня</v>
      </c>
      <c r="P171" s="41" t="str">
        <f t="shared" si="8"/>
        <v>Броня</v>
      </c>
      <c r="Q171" s="42">
        <f>IF(ISNUMBER('Бартер броня'!G295), 'Бартер броня'!G295, "")</f>
        <v>61300</v>
      </c>
      <c r="R171" s="43">
        <v>2</v>
      </c>
      <c r="S171" s="41" t="s">
        <v>252</v>
      </c>
      <c r="T171" s="41" t="s">
        <v>634</v>
      </c>
      <c r="U171" s="44">
        <f t="shared" si="7"/>
        <v>1</v>
      </c>
      <c r="V171" s="44">
        <f>IF(U171=1,SUM($U$2:U171),"")</f>
        <v>170</v>
      </c>
    </row>
    <row r="172" spans="2:22">
      <c r="B172" s="47">
        <f>IFERROR(IF(MATCH(168,$V$2:$V$362,0)&gt;0,168,""),"")</f>
        <v>168</v>
      </c>
      <c r="C172" s="6" t="str">
        <f>IFERROR(INDEX($L$2:$Q$362,MATCH(168,$V$2:$V$362,0),2),"")</f>
        <v>КИМ-99 «Янтарь»</v>
      </c>
      <c r="D172" s="50" t="str">
        <f>IFERROR(INDEX($L$2:$Q$362,MATCH(168,$V$2:$V$362,0),3),"")</f>
        <v>Сталкер</v>
      </c>
      <c r="E172" s="47" t="str">
        <f>IFERROR(INDEX($L$2:$Q$362,MATCH(168,$V$2:$V$362,0),4),"")</f>
        <v>Научная броня</v>
      </c>
      <c r="I172" s="46"/>
      <c r="L172" s="41">
        <f>'Бартер броня'!A297</f>
        <v>43</v>
      </c>
      <c r="M172" s="41" t="str">
        <f>'Бартер броня'!C297</f>
        <v>Костюм «Сокол»</v>
      </c>
      <c r="N172" s="41" t="str">
        <f>'Бартер броня'!D297</f>
        <v>Сталкер</v>
      </c>
      <c r="O172" s="41" t="str">
        <f>'Бартер броня'!E297</f>
        <v>Комбинированная броня</v>
      </c>
      <c r="P172" s="41" t="str">
        <f t="shared" si="8"/>
        <v>Броня</v>
      </c>
      <c r="Q172" s="42">
        <f>IF(ISNUMBER('Бартер броня'!G302), 'Бартер броня'!G302, "")</f>
        <v>61300</v>
      </c>
      <c r="R172" s="43">
        <v>2</v>
      </c>
      <c r="S172" s="41" t="s">
        <v>253</v>
      </c>
      <c r="T172" s="41" t="s">
        <v>635</v>
      </c>
      <c r="U172" s="44">
        <f t="shared" si="7"/>
        <v>1</v>
      </c>
      <c r="V172" s="44">
        <f>IF(U172=1,SUM($U$2:U172),"")</f>
        <v>171</v>
      </c>
    </row>
    <row r="173" spans="2:22">
      <c r="B173" s="47">
        <f>IFERROR(IF(MATCH(169,$V$2:$V$362,0)&gt;0,169,""),"")</f>
        <v>169</v>
      </c>
      <c r="C173" s="6" t="str">
        <f>IFERROR(INDEX($L$2:$Q$362,MATCH(169,$V$2:$V$362,0),2),"")</f>
        <v>Костюм АО-3 «Искатель»</v>
      </c>
      <c r="D173" s="50" t="str">
        <f>IFERROR(INDEX($L$2:$Q$362,MATCH(169,$V$2:$V$362,0),3),"")</f>
        <v>Сталкер</v>
      </c>
      <c r="E173" s="47" t="str">
        <f>IFERROR(INDEX($L$2:$Q$362,MATCH(169,$V$2:$V$362,0),4),"")</f>
        <v>Комбинированная броня</v>
      </c>
      <c r="I173" s="46"/>
      <c r="L173" s="41">
        <f>'Бартер броня'!A304</f>
        <v>44</v>
      </c>
      <c r="M173" s="41" t="str">
        <f>'Бартер броня'!C304</f>
        <v>Бронекостюм «Страйкер»</v>
      </c>
      <c r="N173" s="41" t="str">
        <f>'Бартер броня'!D304</f>
        <v>Сталкер</v>
      </c>
      <c r="O173" s="41" t="str">
        <f>'Бартер броня'!E304</f>
        <v>Боевая броня</v>
      </c>
      <c r="P173" s="41" t="str">
        <f t="shared" si="8"/>
        <v>Броня</v>
      </c>
      <c r="Q173" s="42">
        <f>IF(ISNUMBER('Бартер броня'!G309), 'Бартер броня'!G309, "")</f>
        <v>59800</v>
      </c>
      <c r="R173" s="43">
        <v>3</v>
      </c>
      <c r="S173" s="41" t="s">
        <v>636</v>
      </c>
      <c r="T173" s="41" t="s">
        <v>637</v>
      </c>
      <c r="U173" s="44">
        <f t="shared" si="7"/>
        <v>1</v>
      </c>
      <c r="V173" s="44">
        <f>IF(U173=1,SUM($U$2:U173),"")</f>
        <v>172</v>
      </c>
    </row>
    <row r="174" spans="2:22">
      <c r="B174" s="47">
        <f>IFERROR(IF(MATCH(170,$V$2:$V$362,0)&gt;0,170,""),"")</f>
        <v>170</v>
      </c>
      <c r="C174" s="6" t="str">
        <f>IFERROR(INDEX($L$2:$Q$362,MATCH(170,$V$2:$V$362,0),2),"")</f>
        <v>Костюм «Пересмешник»</v>
      </c>
      <c r="D174" s="50" t="str">
        <f>IFERROR(INDEX($L$2:$Q$362,MATCH(170,$V$2:$V$362,0),3),"")</f>
        <v>Сталкер</v>
      </c>
      <c r="E174" s="47" t="str">
        <f>IFERROR(INDEX($L$2:$Q$362,MATCH(170,$V$2:$V$362,0),4),"")</f>
        <v>Комбинированная броня</v>
      </c>
      <c r="I174" s="46"/>
      <c r="L174" s="41">
        <f>'Бартер броня'!A311</f>
        <v>45</v>
      </c>
      <c r="M174" s="41" t="str">
        <f>'Бартер броня'!C311</f>
        <v>Бандитский костюм с баллонами</v>
      </c>
      <c r="N174" s="41" t="str">
        <f>'Бартер броня'!D311</f>
        <v>Новичок</v>
      </c>
      <c r="O174" s="41" t="str">
        <f>'Бартер броня'!E311</f>
        <v>Научная броня</v>
      </c>
      <c r="P174" s="41" t="str">
        <f t="shared" si="8"/>
        <v>Броня</v>
      </c>
      <c r="Q174" s="42">
        <f>IF(ISNUMBER('Бартер броня'!G316), 'Бартер броня'!G316, "")</f>
        <v>12500</v>
      </c>
      <c r="R174" s="43">
        <v>3</v>
      </c>
      <c r="S174" s="41" t="s">
        <v>638</v>
      </c>
      <c r="T174" s="41" t="s">
        <v>639</v>
      </c>
      <c r="U174" s="44">
        <f t="shared" si="7"/>
        <v>1</v>
      </c>
      <c r="V174" s="44">
        <f>IF(U174=1,SUM($U$2:U174),"")</f>
        <v>173</v>
      </c>
    </row>
    <row r="175" spans="2:22">
      <c r="B175" s="47">
        <f>IFERROR(IF(MATCH(171,$V$2:$V$362,0)&gt;0,171,""),"")</f>
        <v>171</v>
      </c>
      <c r="C175" s="6" t="str">
        <f>IFERROR(INDEX($L$2:$Q$362,MATCH(171,$V$2:$V$362,0),2),"")</f>
        <v>Костюм «Сокол»</v>
      </c>
      <c r="D175" s="50" t="str">
        <f>IFERROR(INDEX($L$2:$Q$362,MATCH(171,$V$2:$V$362,0),3),"")</f>
        <v>Сталкер</v>
      </c>
      <c r="E175" s="47" t="str">
        <f>IFERROR(INDEX($L$2:$Q$362,MATCH(171,$V$2:$V$362,0),4),"")</f>
        <v>Комбинированная броня</v>
      </c>
      <c r="I175" s="46"/>
      <c r="L175" s="41">
        <f>'Бартер броня'!A318</f>
        <v>46</v>
      </c>
      <c r="M175" s="41" t="str">
        <f>'Бартер броня'!C318</f>
        <v>Костюм «Аврора-Б»</v>
      </c>
      <c r="N175" s="41" t="str">
        <f>'Бартер броня'!D318</f>
        <v>Новичок</v>
      </c>
      <c r="O175" s="41" t="str">
        <f>'Бартер броня'!E318</f>
        <v>Научная броня</v>
      </c>
      <c r="P175" s="41" t="str">
        <f t="shared" si="8"/>
        <v>Броня</v>
      </c>
      <c r="Q175" s="42">
        <f>IF(ISNUMBER('Бартер броня'!G323), 'Бартер броня'!G323, "")</f>
        <v>12500</v>
      </c>
      <c r="R175" s="43">
        <v>2</v>
      </c>
      <c r="S175" s="41" t="s">
        <v>256</v>
      </c>
      <c r="T175" s="41" t="s">
        <v>640</v>
      </c>
      <c r="U175" s="44">
        <f t="shared" si="7"/>
        <v>1</v>
      </c>
      <c r="V175" s="44">
        <f>IF(U175=1,SUM($U$2:U175),"")</f>
        <v>174</v>
      </c>
    </row>
    <row r="176" spans="2:22">
      <c r="B176" s="47">
        <f>IFERROR(IF(MATCH(172,$V$2:$V$362,0)&gt;0,172,""),"")</f>
        <v>172</v>
      </c>
      <c r="C176" s="6" t="str">
        <f>IFERROR(INDEX($L$2:$Q$362,MATCH(172,$V$2:$V$362,0),2),"")</f>
        <v>Бронекостюм «Страйкер»</v>
      </c>
      <c r="D176" s="50" t="str">
        <f>IFERROR(INDEX($L$2:$Q$362,MATCH(172,$V$2:$V$362,0),3),"")</f>
        <v>Сталкер</v>
      </c>
      <c r="E176" s="47" t="str">
        <f>IFERROR(INDEX($L$2:$Q$362,MATCH(172,$V$2:$V$362,0),4),"")</f>
        <v>Боевая броня</v>
      </c>
      <c r="I176" s="46"/>
      <c r="L176" s="41">
        <f>'Бартер броня'!A325</f>
        <v>47</v>
      </c>
      <c r="M176" s="41" t="str">
        <f>'Бартер броня'!C325</f>
        <v>Костюм «Траппер»</v>
      </c>
      <c r="N176" s="41" t="str">
        <f>'Бартер броня'!D325</f>
        <v>Новичок</v>
      </c>
      <c r="O176" s="41" t="str">
        <f>'Бартер броня'!E325</f>
        <v>Боевая броня</v>
      </c>
      <c r="P176" s="41" t="str">
        <f t="shared" si="8"/>
        <v>Броня</v>
      </c>
      <c r="Q176" s="42">
        <f>IF(ISNUMBER('Бартер броня'!G330), 'Бартер броня'!G330, "")</f>
        <v>11200</v>
      </c>
      <c r="R176" s="43">
        <v>2</v>
      </c>
      <c r="S176" s="41" t="s">
        <v>257</v>
      </c>
      <c r="T176" s="41" t="s">
        <v>641</v>
      </c>
      <c r="U176" s="44">
        <f t="shared" si="7"/>
        <v>1</v>
      </c>
      <c r="V176" s="44">
        <f>IF(U176=1,SUM($U$2:U176),"")</f>
        <v>175</v>
      </c>
    </row>
    <row r="177" spans="2:22">
      <c r="B177" s="47">
        <f>IFERROR(IF(MATCH(173,$V$2:$V$362,0)&gt;0,173,""),"")</f>
        <v>173</v>
      </c>
      <c r="C177" s="7" t="str">
        <f>IFERROR(INDEX($L$2:$Q$362,MATCH(173,$V$2:$V$362,0),2),"")</f>
        <v>Бандитский костюм с баллонами</v>
      </c>
      <c r="D177" s="51" t="str">
        <f>IFERROR(INDEX($L$2:$Q$362,MATCH(173,$V$2:$V$362,0),3),"")</f>
        <v>Новичок</v>
      </c>
      <c r="E177" s="47" t="str">
        <f>IFERROR(INDEX($L$2:$Q$362,MATCH(173,$V$2:$V$362,0),4),"")</f>
        <v>Научная броня</v>
      </c>
      <c r="I177" s="46"/>
      <c r="L177" s="41">
        <f>'Бартер броня'!A332</f>
        <v>48</v>
      </c>
      <c r="M177" s="41" t="str">
        <f>'Бартер броня'!C332</f>
        <v>Костюм АО-2 «Странник»</v>
      </c>
      <c r="N177" s="41" t="str">
        <f>'Бартер броня'!D332</f>
        <v>Новичок</v>
      </c>
      <c r="O177" s="41" t="str">
        <f>'Бартер броня'!E332</f>
        <v>Комбинированная броня</v>
      </c>
      <c r="P177" s="41" t="str">
        <f t="shared" si="8"/>
        <v>Броня</v>
      </c>
      <c r="Q177" s="42">
        <f>IF(ISNUMBER('Бартер броня'!G337), 'Бартер броня'!G337, "")</f>
        <v>10900</v>
      </c>
      <c r="R177" s="43">
        <v>2</v>
      </c>
      <c r="S177" s="41" t="s">
        <v>256</v>
      </c>
      <c r="T177" s="41" t="s">
        <v>642</v>
      </c>
      <c r="U177" s="44">
        <f t="shared" si="7"/>
        <v>1</v>
      </c>
      <c r="V177" s="44">
        <f>IF(U177=1,SUM($U$2:U177),"")</f>
        <v>176</v>
      </c>
    </row>
    <row r="178" spans="2:22">
      <c r="B178" s="47">
        <f>IFERROR(IF(MATCH(174,$V$2:$V$362,0)&gt;0,174,""),"")</f>
        <v>174</v>
      </c>
      <c r="C178" s="7" t="str">
        <f>IFERROR(INDEX($L$2:$Q$362,MATCH(174,$V$2:$V$362,0),2),"")</f>
        <v>Костюм «Аврора-Б»</v>
      </c>
      <c r="D178" s="51" t="str">
        <f>IFERROR(INDEX($L$2:$Q$362,MATCH(174,$V$2:$V$362,0),3),"")</f>
        <v>Новичок</v>
      </c>
      <c r="E178" s="47" t="str">
        <f>IFERROR(INDEX($L$2:$Q$362,MATCH(174,$V$2:$V$362,0),4),"")</f>
        <v>Научная броня</v>
      </c>
      <c r="I178" s="46"/>
      <c r="L178" s="41">
        <f>'Бартер броня'!A339</f>
        <v>49</v>
      </c>
      <c r="M178" s="41" t="str">
        <f>'Бартер броня'!C339</f>
        <v>Костюм «Грибник»</v>
      </c>
      <c r="N178" s="41" t="str">
        <f>'Бартер броня'!D339</f>
        <v>Новичок</v>
      </c>
      <c r="O178" s="41" t="str">
        <f>'Бартер броня'!E339</f>
        <v>Комбинированная броня</v>
      </c>
      <c r="P178" s="41" t="str">
        <f t="shared" si="8"/>
        <v>Броня</v>
      </c>
      <c r="Q178" s="42">
        <f>IF(ISNUMBER('Бартер броня'!G344), 'Бартер броня'!G344, "")</f>
        <v>10100</v>
      </c>
      <c r="R178" s="43">
        <v>2</v>
      </c>
      <c r="S178" s="41" t="s">
        <v>258</v>
      </c>
      <c r="T178" s="41" t="s">
        <v>643</v>
      </c>
      <c r="U178" s="44">
        <f t="shared" si="7"/>
        <v>1</v>
      </c>
      <c r="V178" s="44">
        <f>IF(U178=1,SUM($U$2:U178),"")</f>
        <v>177</v>
      </c>
    </row>
    <row r="179" spans="2:22">
      <c r="B179" s="47">
        <f>IFERROR(IF(MATCH(175,$V$2:$V$362,0)&gt;0,175,""),"")</f>
        <v>175</v>
      </c>
      <c r="C179" s="7" t="str">
        <f>IFERROR(INDEX($L$2:$Q$362,MATCH(175,$V$2:$V$362,0),2),"")</f>
        <v>Костюм «Траппер»</v>
      </c>
      <c r="D179" s="51" t="str">
        <f>IFERROR(INDEX($L$2:$Q$362,MATCH(175,$V$2:$V$362,0),3),"")</f>
        <v>Новичок</v>
      </c>
      <c r="E179" s="47" t="str">
        <f>IFERROR(INDEX($L$2:$Q$362,MATCH(175,$V$2:$V$362,0),4),"")</f>
        <v>Боевая броня</v>
      </c>
      <c r="I179" s="46"/>
      <c r="L179" s="41">
        <f>'Бартер броня'!A346</f>
        <v>50</v>
      </c>
      <c r="M179" s="41" t="str">
        <f>'Бартер броня'!C346</f>
        <v>Костюм «Клептоман»</v>
      </c>
      <c r="N179" s="41" t="str">
        <f>'Бартер броня'!D346</f>
        <v>Новичок</v>
      </c>
      <c r="O179" s="41" t="str">
        <f>'Бартер броня'!E346</f>
        <v>Комбинированная броня</v>
      </c>
      <c r="P179" s="41" t="str">
        <f t="shared" si="8"/>
        <v>Броня</v>
      </c>
      <c r="Q179" s="42">
        <f>IF(ISNUMBER('Бартер броня'!G351), 'Бартер броня'!G351, "")</f>
        <v>10100</v>
      </c>
      <c r="R179" s="43">
        <v>2</v>
      </c>
      <c r="S179" s="41" t="s">
        <v>259</v>
      </c>
      <c r="T179" s="41" t="s">
        <v>644</v>
      </c>
      <c r="U179" s="44">
        <f t="shared" si="7"/>
        <v>1</v>
      </c>
      <c r="V179" s="44">
        <f>IF(U179=1,SUM($U$2:U179),"")</f>
        <v>178</v>
      </c>
    </row>
    <row r="180" spans="2:22">
      <c r="B180" s="47">
        <f>IFERROR(IF(MATCH(176,$V$2:$V$362,0)&gt;0,176,""),"")</f>
        <v>176</v>
      </c>
      <c r="C180" s="7" t="str">
        <f>IFERROR(INDEX($L$2:$Q$362,MATCH(176,$V$2:$V$362,0),2),"")</f>
        <v>Костюм АО-2 «Странник»</v>
      </c>
      <c r="D180" s="51" t="str">
        <f>IFERROR(INDEX($L$2:$Q$362,MATCH(176,$V$2:$V$362,0),3),"")</f>
        <v>Новичок</v>
      </c>
      <c r="E180" s="47" t="str">
        <f>IFERROR(INDEX($L$2:$Q$362,MATCH(176,$V$2:$V$362,0),4),"")</f>
        <v>Комбинированная броня</v>
      </c>
      <c r="I180" s="46"/>
      <c r="L180" s="41">
        <f>'Бартер броня'!A353</f>
        <v>51</v>
      </c>
      <c r="M180" s="41" t="str">
        <f>'Бартер броня'!C353</f>
        <v>Бронекостюм «Комбат-5М»</v>
      </c>
      <c r="N180" s="41" t="str">
        <f>'Бартер броня'!D353</f>
        <v>Новичок</v>
      </c>
      <c r="O180" s="41" t="str">
        <f>'Бартер броня'!E353</f>
        <v>Боевая броня</v>
      </c>
      <c r="P180" s="41" t="str">
        <f t="shared" si="8"/>
        <v>Броня</v>
      </c>
      <c r="Q180" s="42">
        <f>IF(ISNUMBER('Бартер броня'!G358), 'Бартер броня'!G358, "")</f>
        <v>9830</v>
      </c>
      <c r="R180" s="43">
        <v>2</v>
      </c>
      <c r="S180" s="41" t="s">
        <v>260</v>
      </c>
      <c r="T180" s="41" t="s">
        <v>645</v>
      </c>
      <c r="U180" s="44">
        <f t="shared" si="7"/>
        <v>1</v>
      </c>
      <c r="V180" s="44">
        <f>IF(U180=1,SUM($U$2:U180),"")</f>
        <v>179</v>
      </c>
    </row>
    <row r="181" spans="2:22">
      <c r="B181" s="47">
        <f>IFERROR(IF(MATCH(177,$V$2:$V$362,0)&gt;0,177,""),"")</f>
        <v>177</v>
      </c>
      <c r="C181" s="7" t="str">
        <f>IFERROR(INDEX($L$2:$Q$362,MATCH(177,$V$2:$V$362,0),2),"")</f>
        <v>Костюм «Грибник»</v>
      </c>
      <c r="D181" s="51" t="str">
        <f>IFERROR(INDEX($L$2:$Q$362,MATCH(177,$V$2:$V$362,0),3),"")</f>
        <v>Новичок</v>
      </c>
      <c r="E181" s="47" t="str">
        <f>IFERROR(INDEX($L$2:$Q$362,MATCH(177,$V$2:$V$362,0),4),"")</f>
        <v>Комбинированная броня</v>
      </c>
      <c r="I181" s="46"/>
      <c r="L181" s="41">
        <f>'Бартер броня'!A360</f>
        <v>52</v>
      </c>
      <c r="M181" s="41" t="str">
        <f>'Бартер броня'!C360</f>
        <v>Бронекостюм «Червь»</v>
      </c>
      <c r="N181" s="41" t="str">
        <f>'Бартер броня'!D360</f>
        <v>Новичок</v>
      </c>
      <c r="O181" s="41" t="str">
        <f>'Бартер броня'!E360</f>
        <v>Боевая броня</v>
      </c>
      <c r="P181" s="41" t="str">
        <f t="shared" si="8"/>
        <v>Броня</v>
      </c>
      <c r="Q181" s="42">
        <f>IF(ISNUMBER('Бартер броня'!G365), 'Бартер броня'!G365, "")</f>
        <v>9830</v>
      </c>
      <c r="R181" s="43">
        <v>2</v>
      </c>
      <c r="S181" s="41" t="s">
        <v>260</v>
      </c>
      <c r="T181" s="41" t="s">
        <v>646</v>
      </c>
      <c r="U181" s="44">
        <f t="shared" si="7"/>
        <v>1</v>
      </c>
      <c r="V181" s="44">
        <f>IF(U181=1,SUM($U$2:U181),"")</f>
        <v>180</v>
      </c>
    </row>
    <row r="182" spans="2:22">
      <c r="B182" s="47">
        <f>IFERROR(IF(MATCH(178,$V$2:$V$362,0)&gt;0,178,""),"")</f>
        <v>178</v>
      </c>
      <c r="C182" s="7" t="str">
        <f>IFERROR(INDEX($L$2:$Q$362,MATCH(178,$V$2:$V$362,0),2),"")</f>
        <v>Костюм «Клептоман»</v>
      </c>
      <c r="D182" s="51" t="str">
        <f>IFERROR(INDEX($L$2:$Q$362,MATCH(178,$V$2:$V$362,0),3),"")</f>
        <v>Новичок</v>
      </c>
      <c r="E182" s="47" t="str">
        <f>IFERROR(INDEX($L$2:$Q$362,MATCH(178,$V$2:$V$362,0),4),"")</f>
        <v>Комбинированная броня</v>
      </c>
      <c r="I182" s="46"/>
      <c r="L182" s="41">
        <f>'Бартер броня'!A367</f>
        <v>53</v>
      </c>
      <c r="M182" s="41" t="str">
        <f>'Бартер броня'!C367</f>
        <v>Бандитский костюм с противогазом</v>
      </c>
      <c r="N182" s="41" t="str">
        <f>'Бартер броня'!D367</f>
        <v>Новичок</v>
      </c>
      <c r="O182" s="41" t="str">
        <f>'Бартер броня'!E367</f>
        <v>Комбинированная броня</v>
      </c>
      <c r="P182" s="41" t="str">
        <f t="shared" si="8"/>
        <v>Броня</v>
      </c>
      <c r="Q182" s="42">
        <f>IF(ISNUMBER('Бартер броня'!G372), 'Бартер броня'!G372, "")</f>
        <v>2960</v>
      </c>
      <c r="R182" s="43">
        <v>1</v>
      </c>
      <c r="S182" s="41" t="s">
        <v>261</v>
      </c>
      <c r="T182" s="41" t="s">
        <v>647</v>
      </c>
      <c r="U182" s="44">
        <f t="shared" si="7"/>
        <v>1</v>
      </c>
      <c r="V182" s="44">
        <f>IF(U182=1,SUM($U$2:U182),"")</f>
        <v>181</v>
      </c>
    </row>
    <row r="183" spans="2:22">
      <c r="B183" s="47">
        <f>IFERROR(IF(MATCH(179,$V$2:$V$362,0)&gt;0,179,""),"")</f>
        <v>179</v>
      </c>
      <c r="C183" s="7" t="str">
        <f>IFERROR(INDEX($L$2:$Q$362,MATCH(179,$V$2:$V$362,0),2),"")</f>
        <v>Бронекостюм «Комбат-5М»</v>
      </c>
      <c r="D183" s="51" t="str">
        <f>IFERROR(INDEX($L$2:$Q$362,MATCH(179,$V$2:$V$362,0),3),"")</f>
        <v>Новичок</v>
      </c>
      <c r="E183" s="47" t="str">
        <f>IFERROR(INDEX($L$2:$Q$362,MATCH(179,$V$2:$V$362,0),4),"")</f>
        <v>Боевая броня</v>
      </c>
      <c r="I183" s="46"/>
      <c r="L183" s="41">
        <f>'Бартер броня'!A374</f>
        <v>54</v>
      </c>
      <c r="M183" s="41" t="str">
        <f>'Бартер броня'!C374</f>
        <v>Костюм «Аврора» с противогазом</v>
      </c>
      <c r="N183" s="41" t="str">
        <f>'Бартер броня'!D374</f>
        <v>Новичок</v>
      </c>
      <c r="O183" s="41" t="str">
        <f>'Бартер броня'!E374</f>
        <v>Комбинированная броня</v>
      </c>
      <c r="P183" s="41" t="str">
        <f t="shared" si="8"/>
        <v>Броня</v>
      </c>
      <c r="Q183" s="42">
        <f>IF(ISNUMBER('Бартер броня'!G379), 'Бартер броня'!G379, "")</f>
        <v>2960</v>
      </c>
      <c r="R183" s="43">
        <v>1</v>
      </c>
      <c r="S183" s="41" t="s">
        <v>261</v>
      </c>
      <c r="T183" s="41" t="s">
        <v>648</v>
      </c>
      <c r="U183" s="44">
        <f t="shared" si="7"/>
        <v>1</v>
      </c>
      <c r="V183" s="44">
        <f>IF(U183=1,SUM($U$2:U183),"")</f>
        <v>182</v>
      </c>
    </row>
    <row r="184" spans="2:22">
      <c r="B184" s="47">
        <f>IFERROR(IF(MATCH(180,$V$2:$V$362,0)&gt;0,180,""),"")</f>
        <v>180</v>
      </c>
      <c r="C184" s="7" t="str">
        <f>IFERROR(INDEX($L$2:$Q$362,MATCH(180,$V$2:$V$362,0),2),"")</f>
        <v>Бронекостюм «Червь»</v>
      </c>
      <c r="D184" s="51" t="str">
        <f>IFERROR(INDEX($L$2:$Q$362,MATCH(180,$V$2:$V$362,0),3),"")</f>
        <v>Новичок</v>
      </c>
      <c r="E184" s="47" t="str">
        <f>IFERROR(INDEX($L$2:$Q$362,MATCH(180,$V$2:$V$362,0),4),"")</f>
        <v>Боевая броня</v>
      </c>
      <c r="I184" s="46"/>
      <c r="L184" s="41">
        <f>'Бартер броня'!A381</f>
        <v>55</v>
      </c>
      <c r="M184" s="41" t="str">
        <f>'Бартер броня'!C381</f>
        <v>Костюм «Скаут»</v>
      </c>
      <c r="N184" s="41" t="str">
        <f>'Бартер броня'!D381</f>
        <v>Новичок</v>
      </c>
      <c r="O184" s="41" t="str">
        <f>'Бартер броня'!E381</f>
        <v>Боевая броня</v>
      </c>
      <c r="P184" s="41" t="str">
        <f t="shared" si="8"/>
        <v>Броня</v>
      </c>
      <c r="Q184" s="42">
        <f>IF(ISNUMBER('Бартер броня'!G386), 'Бартер броня'!G386, "")</f>
        <v>2960</v>
      </c>
      <c r="R184" s="43">
        <v>2</v>
      </c>
      <c r="S184" s="41" t="s">
        <v>262</v>
      </c>
      <c r="T184" s="41" t="s">
        <v>649</v>
      </c>
      <c r="U184" s="44">
        <f t="shared" si="7"/>
        <v>1</v>
      </c>
      <c r="V184" s="44">
        <f>IF(U184=1,SUM($U$2:U184),"")</f>
        <v>183</v>
      </c>
    </row>
    <row r="185" spans="2:22">
      <c r="B185" s="47">
        <f>IFERROR(IF(MATCH(181,$V$2:$V$362,0)&gt;0,181,""),"")</f>
        <v>181</v>
      </c>
      <c r="C185" s="7" t="str">
        <f>IFERROR(INDEX($L$2:$Q$362,MATCH(181,$V$2:$V$362,0),2),"")</f>
        <v>Бандитский костюм с противогазом</v>
      </c>
      <c r="D185" s="51" t="str">
        <f>IFERROR(INDEX($L$2:$Q$362,MATCH(181,$V$2:$V$362,0),3),"")</f>
        <v>Новичок</v>
      </c>
      <c r="E185" s="47" t="str">
        <f>IFERROR(INDEX($L$2:$Q$362,MATCH(181,$V$2:$V$362,0),4),"")</f>
        <v>Комбинированная броня</v>
      </c>
      <c r="I185" s="46"/>
      <c r="L185" s="41">
        <f>'Бартер броня'!A388</f>
        <v>56</v>
      </c>
      <c r="M185" s="41" t="str">
        <f>'Бартер броня'!C388</f>
        <v>Костюм «Псарь»</v>
      </c>
      <c r="N185" s="41" t="str">
        <f>'Бартер броня'!D388</f>
        <v>Новичок</v>
      </c>
      <c r="O185" s="41" t="str">
        <f>'Бартер броня'!E388</f>
        <v>Боевая броня</v>
      </c>
      <c r="P185" s="41" t="str">
        <f t="shared" si="8"/>
        <v>Броня</v>
      </c>
      <c r="Q185" s="42">
        <f>IF(ISNUMBER('Бартер броня'!G393), 'Бартер броня'!G393, "")</f>
        <v>2920</v>
      </c>
      <c r="R185" s="43">
        <v>1</v>
      </c>
      <c r="S185" s="41" t="s">
        <v>263</v>
      </c>
      <c r="T185" s="41" t="s">
        <v>650</v>
      </c>
      <c r="U185" s="44">
        <f t="shared" si="7"/>
        <v>1</v>
      </c>
      <c r="V185" s="44">
        <f>IF(U185=1,SUM($U$2:U185),"")</f>
        <v>184</v>
      </c>
    </row>
    <row r="186" spans="2:22">
      <c r="B186" s="47">
        <f>IFERROR(IF(MATCH(182,$V$2:$V$362,0)&gt;0,182,""),"")</f>
        <v>182</v>
      </c>
      <c r="C186" s="7" t="str">
        <f>IFERROR(INDEX($L$2:$Q$362,MATCH(182,$V$2:$V$362,0),2),"")</f>
        <v>Костюм «Аврора» с противогазом</v>
      </c>
      <c r="D186" s="51" t="str">
        <f>IFERROR(INDEX($L$2:$Q$362,MATCH(182,$V$2:$V$362,0),3),"")</f>
        <v>Новичок</v>
      </c>
      <c r="E186" s="47" t="str">
        <f>IFERROR(INDEX($L$2:$Q$362,MATCH(182,$V$2:$V$362,0),4),"")</f>
        <v>Комбинированная броня</v>
      </c>
      <c r="I186" s="46"/>
      <c r="L186" s="41">
        <f>'Бартер броня'!A395</f>
        <v>57</v>
      </c>
      <c r="M186" s="41" t="str">
        <f>'Бартер броня'!C395</f>
        <v>ИП-4м</v>
      </c>
      <c r="N186" s="41" t="str">
        <f>'Бартер броня'!D395</f>
        <v>Отмычка</v>
      </c>
      <c r="O186" s="41" t="str">
        <f>'Бартер броня'!E395</f>
        <v>Научная броня</v>
      </c>
      <c r="P186" s="41" t="str">
        <f t="shared" si="8"/>
        <v>Броня</v>
      </c>
      <c r="Q186" s="42">
        <f>IF(ISNUMBER('Бартер броня'!G400), 'Бартер броня'!G400, "")</f>
        <v>2890</v>
      </c>
      <c r="R186" s="43">
        <v>1</v>
      </c>
      <c r="S186" s="41" t="s">
        <v>265</v>
      </c>
      <c r="T186" s="41" t="s">
        <v>651</v>
      </c>
      <c r="U186" s="44">
        <f t="shared" si="7"/>
        <v>1</v>
      </c>
      <c r="V186" s="44">
        <f>IF(U186=1,SUM($U$2:U186),"")</f>
        <v>185</v>
      </c>
    </row>
    <row r="187" spans="2:22">
      <c r="B187" s="47">
        <f>IFERROR(IF(MATCH(183,$V$2:$V$362,0)&gt;0,183,""),"")</f>
        <v>183</v>
      </c>
      <c r="C187" s="7" t="str">
        <f>IFERROR(INDEX($L$2:$Q$362,MATCH(183,$V$2:$V$362,0),2),"")</f>
        <v>Костюм «Скаут»</v>
      </c>
      <c r="D187" s="51" t="str">
        <f>IFERROR(INDEX($L$2:$Q$362,MATCH(183,$V$2:$V$362,0),3),"")</f>
        <v>Новичок</v>
      </c>
      <c r="E187" s="47" t="str">
        <f>IFERROR(INDEX($L$2:$Q$362,MATCH(183,$V$2:$V$362,0),4),"")</f>
        <v>Боевая броня</v>
      </c>
      <c r="I187" s="46"/>
      <c r="L187" s="41">
        <f>'Бартер обвесы'!A3</f>
        <v>1</v>
      </c>
      <c r="M187" s="41" t="str">
        <f>'Бартер обвесы'!C3</f>
        <v>ДТК АШ-12</v>
      </c>
      <c r="N187" s="41" t="str">
        <f>'Бартер обвесы'!D3</f>
        <v>Мастер</v>
      </c>
      <c r="O187" s="41" t="str">
        <f>'Бартер обвесы'!E3</f>
        <v>Надульники и глушители</v>
      </c>
      <c r="P187" s="41" t="str">
        <f t="shared" ref="P187:P218" si="9">"Обвесы"</f>
        <v>Обвесы</v>
      </c>
      <c r="Q187" s="42">
        <f>IF(ISNUMBER('Бартер обвесы'!G8), 'Бартер обвесы'!G8, "")</f>
        <v>723410</v>
      </c>
      <c r="R187" s="43">
        <v>1</v>
      </c>
      <c r="S187" s="41" t="s">
        <v>268</v>
      </c>
      <c r="T187" s="41" t="s">
        <v>652</v>
      </c>
      <c r="U187" s="44">
        <f t="shared" si="7"/>
        <v>1</v>
      </c>
      <c r="V187" s="44">
        <f>IF(U187=1,SUM($U$2:U187),"")</f>
        <v>186</v>
      </c>
    </row>
    <row r="188" spans="2:22">
      <c r="B188" s="47">
        <f>IFERROR(IF(MATCH(184,$V$2:$V$362,0)&gt;0,184,""),"")</f>
        <v>184</v>
      </c>
      <c r="C188" s="7" t="str">
        <f>IFERROR(INDEX($L$2:$Q$362,MATCH(184,$V$2:$V$362,0),2),"")</f>
        <v>Костюм «Псарь»</v>
      </c>
      <c r="D188" s="51" t="str">
        <f>IFERROR(INDEX($L$2:$Q$362,MATCH(184,$V$2:$V$362,0),3),"")</f>
        <v>Новичок</v>
      </c>
      <c r="E188" s="47" t="str">
        <f>IFERROR(INDEX($L$2:$Q$362,MATCH(184,$V$2:$V$362,0),4),"")</f>
        <v>Боевая броня</v>
      </c>
      <c r="I188" s="46"/>
      <c r="L188" s="41">
        <f>'Бартер обвесы'!A10</f>
        <v>2</v>
      </c>
      <c r="M188" s="41" t="str">
        <f>'Бартер обвесы'!C10</f>
        <v>Глушитель АШ-12/МЦ-558</v>
      </c>
      <c r="N188" s="41" t="str">
        <f>'Бартер обвесы'!D10</f>
        <v>Мастер</v>
      </c>
      <c r="O188" s="41" t="str">
        <f>'Бартер обвесы'!E10</f>
        <v>Надульники и глушители</v>
      </c>
      <c r="P188" s="41" t="str">
        <f t="shared" si="9"/>
        <v>Обвесы</v>
      </c>
      <c r="Q188" s="42">
        <f>IF(ISNUMBER('Бартер обвесы'!G15), 'Бартер обвесы'!G15, "")</f>
        <v>723610</v>
      </c>
      <c r="R188" s="43">
        <v>1</v>
      </c>
      <c r="S188" s="41" t="s">
        <v>270</v>
      </c>
      <c r="T188" s="41" t="s">
        <v>653</v>
      </c>
      <c r="U188" s="44">
        <f t="shared" si="7"/>
        <v>1</v>
      </c>
      <c r="V188" s="44">
        <f>IF(U188=1,SUM($U$2:U188),"")</f>
        <v>187</v>
      </c>
    </row>
    <row r="189" spans="2:22">
      <c r="B189" s="47">
        <f>IFERROR(IF(MATCH(185,$V$2:$V$362,0)&gt;0,185,""),"")</f>
        <v>185</v>
      </c>
      <c r="C189" s="8" t="str">
        <f>IFERROR(INDEX($L$2:$Q$362,MATCH(185,$V$2:$V$362,0),2),"")</f>
        <v>ИП-4м</v>
      </c>
      <c r="D189" s="52" t="str">
        <f>IFERROR(INDEX($L$2:$Q$362,MATCH(185,$V$2:$V$362,0),3),"")</f>
        <v>Отмычка</v>
      </c>
      <c r="E189" s="47" t="str">
        <f>IFERROR(INDEX($L$2:$Q$362,MATCH(185,$V$2:$V$362,0),4),"")</f>
        <v>Научная броня</v>
      </c>
      <c r="I189" s="46"/>
      <c r="L189" s="41">
        <f>'Бартер обвесы'!A17</f>
        <v>3</v>
      </c>
      <c r="M189" s="41" t="str">
        <f>'Бартер обвесы'!C17</f>
        <v>Барабанный магазин Сайга-12</v>
      </c>
      <c r="N189" s="41" t="str">
        <f>'Бартер обвесы'!D17</f>
        <v>Мастер</v>
      </c>
      <c r="O189" s="41" t="str">
        <f>'Бартер обвесы'!E17</f>
        <v>Магазины</v>
      </c>
      <c r="P189" s="41" t="str">
        <f t="shared" si="9"/>
        <v>Обвесы</v>
      </c>
      <c r="Q189" s="42">
        <f>IF(ISNUMBER('Бартер обвесы'!G22), 'Бартер обвесы'!G22, "")</f>
        <v>324000</v>
      </c>
      <c r="R189" s="43">
        <v>1</v>
      </c>
      <c r="S189" s="41"/>
      <c r="T189" s="41" t="s">
        <v>654</v>
      </c>
      <c r="U189" s="44">
        <f t="shared" si="7"/>
        <v>1</v>
      </c>
      <c r="V189" s="44">
        <f>IF(U189=1,SUM($U$2:U189),"")</f>
        <v>188</v>
      </c>
    </row>
    <row r="190" spans="2:22">
      <c r="B190" s="47">
        <f>IFERROR(IF(MATCH(186,$V$2:$V$362,0)&gt;0,186,""),"")</f>
        <v>186</v>
      </c>
      <c r="C190" s="4" t="str">
        <f>IFERROR(INDEX($L$2:$Q$362,MATCH(186,$V$2:$V$362,0),2),"")</f>
        <v>ДТК АШ-12</v>
      </c>
      <c r="D190" s="48" t="str">
        <f>IFERROR(INDEX($L$2:$Q$362,MATCH(186,$V$2:$V$362,0),3),"")</f>
        <v>Мастер</v>
      </c>
      <c r="E190" s="47" t="str">
        <f>IFERROR(INDEX($L$2:$Q$362,MATCH(186,$V$2:$V$362,0),4),"")</f>
        <v>Надульники и глушители</v>
      </c>
      <c r="I190" s="46"/>
      <c r="L190" s="41">
        <f>'Бартер обвесы'!A24</f>
        <v>4</v>
      </c>
      <c r="M190" s="41" t="str">
        <f>'Бартер обвесы'!C24</f>
        <v>Удлиненный ствол D-Eagle XIX</v>
      </c>
      <c r="N190" s="41" t="str">
        <f>'Бартер обвесы'!D24</f>
        <v>Мастер</v>
      </c>
      <c r="O190" s="41" t="str">
        <f>'Бартер обвесы'!E24</f>
        <v>Надульники и глушители</v>
      </c>
      <c r="P190" s="41" t="str">
        <f t="shared" si="9"/>
        <v>Обвесы</v>
      </c>
      <c r="Q190" s="42">
        <f>IF(ISNUMBER('Бартер обвесы'!G29), 'Бартер обвесы'!G29, "")</f>
        <v>181000</v>
      </c>
      <c r="R190" s="43">
        <v>1</v>
      </c>
      <c r="S190" s="41" t="s">
        <v>274</v>
      </c>
      <c r="T190" s="41" t="s">
        <v>655</v>
      </c>
      <c r="U190" s="44">
        <f t="shared" si="7"/>
        <v>1</v>
      </c>
      <c r="V190" s="44">
        <f>IF(U190=1,SUM($U$2:U190),"")</f>
        <v>189</v>
      </c>
    </row>
    <row r="191" spans="2:22">
      <c r="B191" s="47">
        <f>IFERROR(IF(MATCH(187,$V$2:$V$362,0)&gt;0,187,""),"")</f>
        <v>187</v>
      </c>
      <c r="C191" s="4" t="str">
        <f>IFERROR(INDEX($L$2:$Q$362,MATCH(187,$V$2:$V$362,0),2),"")</f>
        <v>Глушитель АШ-12/МЦ-558</v>
      </c>
      <c r="D191" s="48" t="str">
        <f>IFERROR(INDEX($L$2:$Q$362,MATCH(187,$V$2:$V$362,0),3),"")</f>
        <v>Мастер</v>
      </c>
      <c r="E191" s="47" t="str">
        <f>IFERROR(INDEX($L$2:$Q$362,MATCH(187,$V$2:$V$362,0),4),"")</f>
        <v>Надульники и глушители</v>
      </c>
      <c r="I191" s="46"/>
      <c r="L191" s="41">
        <f>'Бартер обвесы'!A31</f>
        <v>5</v>
      </c>
      <c r="M191" s="41" t="str">
        <f>'Бартер обвесы'!C31</f>
        <v>Барабанный магазин G3/M1A</v>
      </c>
      <c r="N191" s="41" t="str">
        <f>'Бартер обвесы'!D31</f>
        <v>Мастер</v>
      </c>
      <c r="O191" s="41" t="str">
        <f>'Бартер обвесы'!E31</f>
        <v>Магазины</v>
      </c>
      <c r="P191" s="41" t="str">
        <f t="shared" si="9"/>
        <v>Обвесы</v>
      </c>
      <c r="Q191" s="42">
        <f>IF(ISNUMBER('Бартер обвесы'!G36), 'Бартер обвесы'!G36, "")</f>
        <v>247000</v>
      </c>
      <c r="R191" s="43">
        <v>1</v>
      </c>
      <c r="S191" s="41" t="s">
        <v>276</v>
      </c>
      <c r="T191" s="41" t="s">
        <v>656</v>
      </c>
      <c r="U191" s="44">
        <f t="shared" si="7"/>
        <v>1</v>
      </c>
      <c r="V191" s="44">
        <f>IF(U191=1,SUM($U$2:U191),"")</f>
        <v>190</v>
      </c>
    </row>
    <row r="192" spans="2:22">
      <c r="B192" s="47">
        <f>IFERROR(IF(MATCH(188,$V$2:$V$362,0)&gt;0,188,""),"")</f>
        <v>188</v>
      </c>
      <c r="C192" s="4" t="str">
        <f>IFERROR(INDEX($L$2:$Q$362,MATCH(188,$V$2:$V$362,0),2),"")</f>
        <v>Барабанный магазин Сайга-12</v>
      </c>
      <c r="D192" s="48" t="str">
        <f>IFERROR(INDEX($L$2:$Q$362,MATCH(188,$V$2:$V$362,0),3),"")</f>
        <v>Мастер</v>
      </c>
      <c r="E192" s="47" t="str">
        <f>IFERROR(INDEX($L$2:$Q$362,MATCH(188,$V$2:$V$362,0),4),"")</f>
        <v>Магазины</v>
      </c>
      <c r="I192" s="46"/>
      <c r="L192" s="41">
        <f>'Бартер обвесы'!A38</f>
        <v>6</v>
      </c>
      <c r="M192" s="41" t="str">
        <f>'Бартер обвесы'!C38</f>
        <v>Барабанный магазин MPX</v>
      </c>
      <c r="N192" s="41" t="str">
        <f>'Бартер обвесы'!D38</f>
        <v>Мастер</v>
      </c>
      <c r="O192" s="41" t="str">
        <f>'Бартер обвесы'!E38</f>
        <v>Магазины</v>
      </c>
      <c r="P192" s="41" t="str">
        <f t="shared" si="9"/>
        <v>Обвесы</v>
      </c>
      <c r="Q192" s="42">
        <f>IF(ISNUMBER('Бартер обвесы'!G43), 'Бартер обвесы'!G43, "")</f>
        <v>247000</v>
      </c>
      <c r="R192" s="43">
        <v>1</v>
      </c>
      <c r="S192" s="41" t="s">
        <v>278</v>
      </c>
      <c r="T192" s="41" t="s">
        <v>657</v>
      </c>
      <c r="U192" s="44">
        <f t="shared" si="7"/>
        <v>1</v>
      </c>
      <c r="V192" s="44">
        <f>IF(U192=1,SUM($U$2:U192),"")</f>
        <v>191</v>
      </c>
    </row>
    <row r="193" spans="2:22">
      <c r="B193" s="47">
        <f>IFERROR(IF(MATCH(189,$V$2:$V$362,0)&gt;0,189,""),"")</f>
        <v>189</v>
      </c>
      <c r="C193" s="4" t="str">
        <f>IFERROR(INDEX($L$2:$Q$362,MATCH(189,$V$2:$V$362,0),2),"")</f>
        <v>Удлиненный ствол D-Eagle XIX</v>
      </c>
      <c r="D193" s="48" t="str">
        <f>IFERROR(INDEX($L$2:$Q$362,MATCH(189,$V$2:$V$362,0),3),"")</f>
        <v>Мастер</v>
      </c>
      <c r="E193" s="47" t="str">
        <f>IFERROR(INDEX($L$2:$Q$362,MATCH(189,$V$2:$V$362,0),4),"")</f>
        <v>Надульники и глушители</v>
      </c>
      <c r="I193" s="46"/>
      <c r="L193" s="41">
        <f>'Бартер обвесы'!A45</f>
        <v>7</v>
      </c>
      <c r="M193" s="41" t="str">
        <f>'Бартер обвесы'!C45</f>
        <v>Увеличенный магазин АШ-12</v>
      </c>
      <c r="N193" s="41" t="str">
        <f>'Бартер обвесы'!D45</f>
        <v>Мастер</v>
      </c>
      <c r="O193" s="41" t="str">
        <f>'Бартер обвесы'!E45</f>
        <v>Магазины</v>
      </c>
      <c r="P193" s="41" t="str">
        <f t="shared" si="9"/>
        <v>Обвесы</v>
      </c>
      <c r="Q193" s="42">
        <f>IF(ISNUMBER('Бартер обвесы'!G50), 'Бартер обвесы'!G50, "")</f>
        <v>144000</v>
      </c>
      <c r="R193" s="43">
        <v>1</v>
      </c>
      <c r="S193" s="41" t="s">
        <v>280</v>
      </c>
      <c r="T193" s="41" t="s">
        <v>658</v>
      </c>
      <c r="U193" s="44">
        <f t="shared" si="7"/>
        <v>1</v>
      </c>
      <c r="V193" s="44">
        <f>IF(U193=1,SUM($U$2:U193),"")</f>
        <v>192</v>
      </c>
    </row>
    <row r="194" spans="2:22">
      <c r="B194" s="47">
        <f>IFERROR(IF(MATCH(190,$V$2:$V$362,0)&gt;0,190,""),"")</f>
        <v>190</v>
      </c>
      <c r="C194" s="4" t="str">
        <f>IFERROR(INDEX($L$2:$Q$362,MATCH(190,$V$2:$V$362,0),2),"")</f>
        <v>Барабанный магазин G3/M1A</v>
      </c>
      <c r="D194" s="48" t="str">
        <f>IFERROR(INDEX($L$2:$Q$362,MATCH(190,$V$2:$V$362,0),3),"")</f>
        <v>Мастер</v>
      </c>
      <c r="E194" s="47" t="str">
        <f>IFERROR(INDEX($L$2:$Q$362,MATCH(190,$V$2:$V$362,0),4),"")</f>
        <v>Магазины</v>
      </c>
      <c r="I194" s="46"/>
      <c r="L194" s="41">
        <f>'Бартер обвесы'!A52</f>
        <v>8</v>
      </c>
      <c r="M194" s="41" t="str">
        <f>'Бартер обвесы'!C52</f>
        <v>Увеличенный магазин для ВСС/Вал</v>
      </c>
      <c r="N194" s="41" t="str">
        <f>'Бартер обвесы'!D52</f>
        <v>Мастер</v>
      </c>
      <c r="O194" s="41" t="str">
        <f>'Бартер обвесы'!E52</f>
        <v>Магазины</v>
      </c>
      <c r="P194" s="41" t="str">
        <f t="shared" si="9"/>
        <v>Обвесы</v>
      </c>
      <c r="Q194" s="42">
        <f>IF(ISNUMBER('Бартер обвесы'!G57), 'Бартер обвесы'!G57, "")</f>
        <v>144000</v>
      </c>
      <c r="R194" s="43">
        <v>1</v>
      </c>
      <c r="S194" s="41" t="s">
        <v>282</v>
      </c>
      <c r="T194" s="41" t="s">
        <v>659</v>
      </c>
      <c r="U194" s="44">
        <f t="shared" ref="U194:U257" si="10">IF(IF($D$2="",1,--ISNUMBER(SEARCH($D$2,M194)))*IF($D$3="Все",1,--(O194=$D$3))=1,1,0)</f>
        <v>1</v>
      </c>
      <c r="V194" s="44">
        <f>IF(U194=1,SUM($U$2:U194),"")</f>
        <v>193</v>
      </c>
    </row>
    <row r="195" spans="2:22">
      <c r="B195" s="47">
        <f>IFERROR(IF(MATCH(191,$V$2:$V$362,0)&gt;0,191,""),"")</f>
        <v>191</v>
      </c>
      <c r="C195" s="4" t="str">
        <f>IFERROR(INDEX($L$2:$Q$362,MATCH(191,$V$2:$V$362,0),2),"")</f>
        <v>Барабанный магазин MPX</v>
      </c>
      <c r="D195" s="48" t="str">
        <f>IFERROR(INDEX($L$2:$Q$362,MATCH(191,$V$2:$V$362,0),3),"")</f>
        <v>Мастер</v>
      </c>
      <c r="E195" s="47" t="str">
        <f>IFERROR(INDEX($L$2:$Q$362,MATCH(191,$V$2:$V$362,0),4),"")</f>
        <v>Магазины</v>
      </c>
      <c r="I195" s="46"/>
      <c r="L195" s="41">
        <f>'Бартер обвесы'!A59</f>
        <v>9</v>
      </c>
      <c r="M195" s="41" t="str">
        <f>'Бартер обвесы'!C59</f>
        <v>Удлиненный ствол D-Eagle VII</v>
      </c>
      <c r="N195" s="41" t="str">
        <f>'Бартер обвесы'!D59</f>
        <v>Ветеран</v>
      </c>
      <c r="O195" s="41" t="str">
        <f>'Бартер обвесы'!E59</f>
        <v>Надульники и глушители</v>
      </c>
      <c r="P195" s="41" t="str">
        <f t="shared" si="9"/>
        <v>Обвесы</v>
      </c>
      <c r="Q195" s="42">
        <f>IF(ISNUMBER('Бартер обвесы'!G64), 'Бартер обвесы'!G64, "")</f>
        <v>173000</v>
      </c>
      <c r="R195" s="43">
        <v>2</v>
      </c>
      <c r="S195" s="41"/>
      <c r="T195" s="41" t="s">
        <v>660</v>
      </c>
      <c r="U195" s="44">
        <f t="shared" si="10"/>
        <v>1</v>
      </c>
      <c r="V195" s="44">
        <f>IF(U195=1,SUM($U$2:U195),"")</f>
        <v>194</v>
      </c>
    </row>
    <row r="196" spans="2:22">
      <c r="B196" s="47">
        <f>IFERROR(IF(MATCH(192,$V$2:$V$362,0)&gt;0,192,""),"")</f>
        <v>192</v>
      </c>
      <c r="C196" s="4" t="str">
        <f>IFERROR(INDEX($L$2:$Q$362,MATCH(192,$V$2:$V$362,0),2),"")</f>
        <v>Увеличенный магазин АШ-12</v>
      </c>
      <c r="D196" s="48" t="str">
        <f>IFERROR(INDEX($L$2:$Q$362,MATCH(192,$V$2:$V$362,0),3),"")</f>
        <v>Мастер</v>
      </c>
      <c r="E196" s="47" t="str">
        <f>IFERROR(INDEX($L$2:$Q$362,MATCH(192,$V$2:$V$362,0),4),"")</f>
        <v>Магазины</v>
      </c>
      <c r="I196" s="46"/>
      <c r="L196" s="41">
        <f>'Бартер обвесы'!A66</f>
        <v>10</v>
      </c>
      <c r="M196" s="41" t="str">
        <f>'Бартер обвесы'!C66</f>
        <v>Рукоятка для ОЦ-14 «Гроза»</v>
      </c>
      <c r="N196" s="41" t="str">
        <f>'Бартер обвесы'!D66</f>
        <v>Ветеран</v>
      </c>
      <c r="O196" s="41" t="str">
        <f>'Бартер обвесы'!E66</f>
        <v>Надульники и глушители</v>
      </c>
      <c r="P196" s="41" t="str">
        <f t="shared" si="9"/>
        <v>Обвесы</v>
      </c>
      <c r="Q196" s="42">
        <f>IF(ISNUMBER('Бартер обвесы'!G71), 'Бартер обвесы'!G71, "")</f>
        <v>238600</v>
      </c>
      <c r="R196" s="43">
        <v>2</v>
      </c>
      <c r="S196" s="41" t="s">
        <v>283</v>
      </c>
      <c r="T196" s="41" t="s">
        <v>661</v>
      </c>
      <c r="U196" s="44">
        <f t="shared" si="10"/>
        <v>1</v>
      </c>
      <c r="V196" s="44">
        <f>IF(U196=1,SUM($U$2:U196),"")</f>
        <v>195</v>
      </c>
    </row>
    <row r="197" spans="2:22">
      <c r="B197" s="47">
        <f>IFERROR(IF(MATCH(193,$V$2:$V$362,0)&gt;0,193,""),"")</f>
        <v>193</v>
      </c>
      <c r="C197" s="4" t="str">
        <f>IFERROR(INDEX($L$2:$Q$362,MATCH(193,$V$2:$V$362,0),2),"")</f>
        <v>Увеличенный магазин для ВСС/Вал</v>
      </c>
      <c r="D197" s="48" t="str">
        <f>IFERROR(INDEX($L$2:$Q$362,MATCH(193,$V$2:$V$362,0),3),"")</f>
        <v>Мастер</v>
      </c>
      <c r="E197" s="47" t="str">
        <f>IFERROR(INDEX($L$2:$Q$362,MATCH(193,$V$2:$V$362,0),4),"")</f>
        <v>Магазины</v>
      </c>
      <c r="I197" s="46"/>
      <c r="L197" s="41">
        <f>'Бартер обвесы'!A73</f>
        <v>11</v>
      </c>
      <c r="M197" s="41" t="str">
        <f>'Бартер обвесы'!C73</f>
        <v>Увеличенный магазин «Кобра»</v>
      </c>
      <c r="N197" s="41" t="str">
        <f>'Бартер обвесы'!D73</f>
        <v>Ветеран</v>
      </c>
      <c r="O197" s="41" t="str">
        <f>'Бартер обвесы'!E73</f>
        <v>Магазины</v>
      </c>
      <c r="P197" s="41" t="str">
        <f t="shared" si="9"/>
        <v>Обвесы</v>
      </c>
      <c r="Q197" s="42">
        <f>IF(ISNUMBER('Бартер обвесы'!G78), 'Бартер обвесы'!G78, "")</f>
        <v>184000</v>
      </c>
      <c r="R197" s="43">
        <v>2</v>
      </c>
      <c r="S197" s="41"/>
      <c r="T197" s="41" t="s">
        <v>662</v>
      </c>
      <c r="U197" s="44">
        <f t="shared" si="10"/>
        <v>1</v>
      </c>
      <c r="V197" s="44">
        <f>IF(U197=1,SUM($U$2:U197),"")</f>
        <v>196</v>
      </c>
    </row>
    <row r="198" spans="2:22">
      <c r="B198" s="47">
        <f>IFERROR(IF(MATCH(194,$V$2:$V$362,0)&gt;0,194,""),"")</f>
        <v>194</v>
      </c>
      <c r="C198" s="5" t="str">
        <f>IFERROR(INDEX($L$2:$Q$362,MATCH(194,$V$2:$V$362,0),2),"")</f>
        <v>Удлиненный ствол D-Eagle VII</v>
      </c>
      <c r="D198" s="49" t="str">
        <f>IFERROR(INDEX($L$2:$Q$362,MATCH(194,$V$2:$V$362,0),3),"")</f>
        <v>Ветеран</v>
      </c>
      <c r="E198" s="47" t="str">
        <f>IFERROR(INDEX($L$2:$Q$362,MATCH(194,$V$2:$V$362,0),4),"")</f>
        <v>Надульники и глушители</v>
      </c>
      <c r="I198" s="46"/>
      <c r="L198" s="41">
        <f>'Бартер обвесы'!A80</f>
        <v>12</v>
      </c>
      <c r="M198" s="41" t="str">
        <f>'Бартер обвесы'!C80</f>
        <v>ГП-25 «Костер»</v>
      </c>
      <c r="N198" s="41" t="str">
        <f>'Бартер обвесы'!D80</f>
        <v>Ветеран</v>
      </c>
      <c r="O198" s="41" t="str">
        <f>'Бартер обвесы'!E80</f>
        <v>Другое</v>
      </c>
      <c r="P198" s="41" t="str">
        <f t="shared" si="9"/>
        <v>Обвесы</v>
      </c>
      <c r="Q198" s="42">
        <f>IF(ISNUMBER('Бартер обвесы'!G85), 'Бартер обвесы'!G85, "")</f>
        <v>101100</v>
      </c>
      <c r="R198" s="43">
        <v>2</v>
      </c>
      <c r="S198" s="41"/>
      <c r="T198" s="41" t="s">
        <v>663</v>
      </c>
      <c r="U198" s="44">
        <f t="shared" si="10"/>
        <v>1</v>
      </c>
      <c r="V198" s="44">
        <f>IF(U198=1,SUM($U$2:U198),"")</f>
        <v>197</v>
      </c>
    </row>
    <row r="199" spans="2:22">
      <c r="B199" s="47">
        <f>IFERROR(IF(MATCH(195,$V$2:$V$362,0)&gt;0,195,""),"")</f>
        <v>195</v>
      </c>
      <c r="C199" s="5" t="str">
        <f>IFERROR(INDEX($L$2:$Q$362,MATCH(195,$V$2:$V$362,0),2),"")</f>
        <v>Рукоятка для ОЦ-14 «Гроза»</v>
      </c>
      <c r="D199" s="49" t="str">
        <f>IFERROR(INDEX($L$2:$Q$362,MATCH(195,$V$2:$V$362,0),3),"")</f>
        <v>Ветеран</v>
      </c>
      <c r="E199" s="47" t="str">
        <f>IFERROR(INDEX($L$2:$Q$362,MATCH(195,$V$2:$V$362,0),4),"")</f>
        <v>Надульники и глушители</v>
      </c>
      <c r="I199" s="46"/>
      <c r="L199" s="41">
        <f>'Бартер обвесы'!A87</f>
        <v>13</v>
      </c>
      <c r="M199" s="41" t="str">
        <f>'Бартер обвесы'!C87</f>
        <v>M203</v>
      </c>
      <c r="N199" s="41" t="str">
        <f>'Бартер обвесы'!D87</f>
        <v>Ветеран</v>
      </c>
      <c r="O199" s="41" t="str">
        <f>'Бартер обвесы'!E87</f>
        <v>Другое</v>
      </c>
      <c r="P199" s="41" t="str">
        <f t="shared" si="9"/>
        <v>Обвесы</v>
      </c>
      <c r="Q199" s="42">
        <f>IF(ISNUMBER('Бартер обвесы'!G92), 'Бартер обвесы'!G92, "")</f>
        <v>101100</v>
      </c>
      <c r="R199" s="43">
        <v>2</v>
      </c>
      <c r="S199" s="41"/>
      <c r="T199" s="41" t="s">
        <v>664</v>
      </c>
      <c r="U199" s="44">
        <f t="shared" si="10"/>
        <v>1</v>
      </c>
      <c r="V199" s="44">
        <f>IF(U199=1,SUM($U$2:U199),"")</f>
        <v>198</v>
      </c>
    </row>
    <row r="200" spans="2:22">
      <c r="B200" s="47">
        <f>IFERROR(IF(MATCH(196,$V$2:$V$362,0)&gt;0,196,""),"")</f>
        <v>196</v>
      </c>
      <c r="C200" s="5" t="str">
        <f>IFERROR(INDEX($L$2:$Q$362,MATCH(196,$V$2:$V$362,0),2),"")</f>
        <v>Увеличенный магазин «Кобра»</v>
      </c>
      <c r="D200" s="49" t="str">
        <f>IFERROR(INDEX($L$2:$Q$362,MATCH(196,$V$2:$V$362,0),3),"")</f>
        <v>Ветеран</v>
      </c>
      <c r="E200" s="47" t="str">
        <f>IFERROR(INDEX($L$2:$Q$362,MATCH(196,$V$2:$V$362,0),4),"")</f>
        <v>Магазины</v>
      </c>
      <c r="I200" s="46"/>
      <c r="L200" s="41">
        <f>'Бартер обвесы'!A94</f>
        <v>14</v>
      </c>
      <c r="M200" s="41" t="str">
        <f>'Бартер обвесы'!C94</f>
        <v>Магазин 5.45</v>
      </c>
      <c r="N200" s="41" t="str">
        <f>'Бартер обвесы'!D94</f>
        <v>Ветеран</v>
      </c>
      <c r="O200" s="41" t="str">
        <f>'Бартер обвесы'!E94</f>
        <v>Магазины</v>
      </c>
      <c r="P200" s="41" t="str">
        <f t="shared" si="9"/>
        <v>Обвесы</v>
      </c>
      <c r="Q200" s="42">
        <f>IF(ISNUMBER('Бартер обвесы'!G99), 'Бартер обвесы'!G99, "")</f>
        <v>109000</v>
      </c>
      <c r="R200" s="43">
        <v>2</v>
      </c>
      <c r="S200" s="41" t="s">
        <v>289</v>
      </c>
      <c r="T200" s="41" t="s">
        <v>665</v>
      </c>
      <c r="U200" s="44">
        <f t="shared" si="10"/>
        <v>1</v>
      </c>
      <c r="V200" s="44">
        <f>IF(U200=1,SUM($U$2:U200),"")</f>
        <v>199</v>
      </c>
    </row>
    <row r="201" spans="2:22">
      <c r="B201" s="47">
        <f>IFERROR(IF(MATCH(197,$V$2:$V$362,0)&gt;0,197,""),"")</f>
        <v>197</v>
      </c>
      <c r="C201" s="5" t="str">
        <f>IFERROR(INDEX($L$2:$Q$362,MATCH(197,$V$2:$V$362,0),2),"")</f>
        <v>ГП-25 «Костер»</v>
      </c>
      <c r="D201" s="49" t="str">
        <f>IFERROR(INDEX($L$2:$Q$362,MATCH(197,$V$2:$V$362,0),3),"")</f>
        <v>Ветеран</v>
      </c>
      <c r="E201" s="47" t="str">
        <f>IFERROR(INDEX($L$2:$Q$362,MATCH(197,$V$2:$V$362,0),4),"")</f>
        <v>Другое</v>
      </c>
      <c r="I201" s="46"/>
      <c r="L201" s="41">
        <f>'Бартер обвесы'!A101</f>
        <v>15</v>
      </c>
      <c r="M201" s="41" t="str">
        <f>'Бартер обвесы'!C101</f>
        <v>Магазин 5.56 NATO STANAG</v>
      </c>
      <c r="N201" s="41" t="str">
        <f>'Бартер обвесы'!D101</f>
        <v>Ветеран</v>
      </c>
      <c r="O201" s="41" t="str">
        <f>'Бартер обвесы'!E101</f>
        <v>Магазины</v>
      </c>
      <c r="P201" s="41" t="str">
        <f t="shared" si="9"/>
        <v>Обвесы</v>
      </c>
      <c r="Q201" s="42">
        <f>IF(ISNUMBER('Бартер обвесы'!G106), 'Бартер обвесы'!G106, "")</f>
        <v>109000</v>
      </c>
      <c r="R201" s="43">
        <v>4</v>
      </c>
      <c r="S201" s="41" t="s">
        <v>291</v>
      </c>
      <c r="T201" s="41" t="s">
        <v>666</v>
      </c>
      <c r="U201" s="44">
        <f t="shared" si="10"/>
        <v>1</v>
      </c>
      <c r="V201" s="44">
        <f>IF(U201=1,SUM($U$2:U201),"")</f>
        <v>200</v>
      </c>
    </row>
    <row r="202" spans="2:22">
      <c r="B202" s="47">
        <f>IFERROR(IF(MATCH(198,$V$2:$V$362,0)&gt;0,198,""),"")</f>
        <v>198</v>
      </c>
      <c r="C202" s="5" t="str">
        <f>IFERROR(INDEX($L$2:$Q$362,MATCH(198,$V$2:$V$362,0),2),"")</f>
        <v>M203</v>
      </c>
      <c r="D202" s="49" t="str">
        <f>IFERROR(INDEX($L$2:$Q$362,MATCH(198,$V$2:$V$362,0),3),"")</f>
        <v>Ветеран</v>
      </c>
      <c r="E202" s="47" t="str">
        <f>IFERROR(INDEX($L$2:$Q$362,MATCH(198,$V$2:$V$362,0),4),"")</f>
        <v>Другое</v>
      </c>
      <c r="I202" s="46"/>
      <c r="L202" s="41">
        <f>'Бартер обвесы'!A108</f>
        <v>16</v>
      </c>
      <c r="M202" s="41" t="str">
        <f>'Бартер обвесы'!C108</f>
        <v>Магазин эргономичный для ВСС/Вал</v>
      </c>
      <c r="N202" s="41" t="str">
        <f>'Бартер обвесы'!D108</f>
        <v>Ветеран</v>
      </c>
      <c r="O202" s="41" t="str">
        <f>'Бартер обвесы'!E108</f>
        <v>Магазины</v>
      </c>
      <c r="P202" s="41" t="str">
        <f t="shared" si="9"/>
        <v>Обвесы</v>
      </c>
      <c r="Q202" s="42">
        <f>IF(ISNUMBER('Бартер обвесы'!G113), 'Бартер обвесы'!G113, "")</f>
        <v>109000</v>
      </c>
      <c r="R202" s="43">
        <v>2</v>
      </c>
      <c r="S202" s="41" t="s">
        <v>276</v>
      </c>
      <c r="T202" s="41" t="s">
        <v>667</v>
      </c>
      <c r="U202" s="44">
        <f t="shared" si="10"/>
        <v>1</v>
      </c>
      <c r="V202" s="44">
        <f>IF(U202=1,SUM($U$2:U202),"")</f>
        <v>201</v>
      </c>
    </row>
    <row r="203" spans="2:22">
      <c r="B203" s="47">
        <f>IFERROR(IF(MATCH(199,$V$2:$V$362,0)&gt;0,199,""),"")</f>
        <v>199</v>
      </c>
      <c r="C203" s="5" t="str">
        <f>IFERROR(INDEX($L$2:$Q$362,MATCH(199,$V$2:$V$362,0),2),"")</f>
        <v>Магазин 5.45</v>
      </c>
      <c r="D203" s="49" t="str">
        <f>IFERROR(INDEX($L$2:$Q$362,MATCH(199,$V$2:$V$362,0),3),"")</f>
        <v>Ветеран</v>
      </c>
      <c r="E203" s="47" t="str">
        <f>IFERROR(INDEX($L$2:$Q$362,MATCH(199,$V$2:$V$362,0),4),"")</f>
        <v>Магазины</v>
      </c>
      <c r="I203" s="46"/>
      <c r="L203" s="41">
        <f>'Бартер обвесы'!A115</f>
        <v>17</v>
      </c>
      <c r="M203" s="41" t="str">
        <f>'Бартер обвесы'!C115</f>
        <v>Магазин MAG SG545</v>
      </c>
      <c r="N203" s="41" t="str">
        <f>'Бартер обвесы'!D115</f>
        <v>Ветеран</v>
      </c>
      <c r="O203" s="41" t="str">
        <f>'Бартер обвесы'!E115</f>
        <v>Магазины</v>
      </c>
      <c r="P203" s="41" t="str">
        <f t="shared" si="9"/>
        <v>Обвесы</v>
      </c>
      <c r="Q203" s="42">
        <f>IF(ISNUMBER('Бартер обвесы'!G120), 'Бартер обвесы'!G120, "")</f>
        <v>109000</v>
      </c>
      <c r="R203" s="43">
        <v>2</v>
      </c>
      <c r="S203" s="41" t="s">
        <v>293</v>
      </c>
      <c r="T203" s="41" t="s">
        <v>668</v>
      </c>
      <c r="U203" s="44">
        <f t="shared" si="10"/>
        <v>1</v>
      </c>
      <c r="V203" s="44">
        <f>IF(U203=1,SUM($U$2:U203),"")</f>
        <v>202</v>
      </c>
    </row>
    <row r="204" spans="2:22">
      <c r="B204" s="47">
        <f>IFERROR(IF(MATCH(200,$V$2:$V$362,0)&gt;0,200,""),"")</f>
        <v>200</v>
      </c>
      <c r="C204" s="5" t="str">
        <f>IFERROR(INDEX($L$2:$Q$362,MATCH(200,$V$2:$V$362,0),2),"")</f>
        <v>Магазин 5.56 NATO STANAG</v>
      </c>
      <c r="D204" s="49" t="str">
        <f>IFERROR(INDEX($L$2:$Q$362,MATCH(200,$V$2:$V$362,0),3),"")</f>
        <v>Ветеран</v>
      </c>
      <c r="E204" s="47" t="str">
        <f>IFERROR(INDEX($L$2:$Q$362,MATCH(200,$V$2:$V$362,0),4),"")</f>
        <v>Магазины</v>
      </c>
      <c r="I204" s="46"/>
      <c r="L204" s="41">
        <f>'Бартер обвесы'!A122</f>
        <v>18</v>
      </c>
      <c r="M204" s="41" t="str">
        <f>'Бартер обвесы'!C122</f>
        <v>Магазин Magpul PMAG 7.62x39</v>
      </c>
      <c r="N204" s="41" t="str">
        <f>'Бартер обвесы'!D122</f>
        <v>Ветеран</v>
      </c>
      <c r="O204" s="41" t="str">
        <f>'Бартер обвесы'!E122</f>
        <v>Магазины</v>
      </c>
      <c r="P204" s="41" t="str">
        <f t="shared" si="9"/>
        <v>Обвесы</v>
      </c>
      <c r="Q204" s="42">
        <f>IF(ISNUMBER('Бартер обвесы'!G127), 'Бартер обвесы'!G127, "")</f>
        <v>109000</v>
      </c>
      <c r="R204" s="43">
        <v>2</v>
      </c>
      <c r="S204" s="41" t="s">
        <v>295</v>
      </c>
      <c r="T204" s="41" t="s">
        <v>669</v>
      </c>
      <c r="U204" s="44">
        <f t="shared" si="10"/>
        <v>1</v>
      </c>
      <c r="V204" s="44">
        <f>IF(U204=1,SUM($U$2:U204),"")</f>
        <v>203</v>
      </c>
    </row>
    <row r="205" spans="2:22">
      <c r="B205" s="47">
        <f>IFERROR(IF(MATCH(201,$V$2:$V$362,0)&gt;0,201,""),"")</f>
        <v>201</v>
      </c>
      <c r="C205" s="5" t="str">
        <f>IFERROR(INDEX($L$2:$Q$362,MATCH(201,$V$2:$V$362,0),2),"")</f>
        <v>Магазин эргономичный для ВСС/Вал</v>
      </c>
      <c r="D205" s="49" t="str">
        <f>IFERROR(INDEX($L$2:$Q$362,MATCH(201,$V$2:$V$362,0),3),"")</f>
        <v>Ветеран</v>
      </c>
      <c r="E205" s="47" t="str">
        <f>IFERROR(INDEX($L$2:$Q$362,MATCH(201,$V$2:$V$362,0),4),"")</f>
        <v>Магазины</v>
      </c>
      <c r="I205" s="46"/>
      <c r="L205" s="41">
        <f>'Бартер обвесы'!A129</f>
        <v>19</v>
      </c>
      <c r="M205" s="41" t="str">
        <f>'Бартер обвесы'!C129</f>
        <v>Магазин PMAG GEN2 M2 MOE</v>
      </c>
      <c r="N205" s="41" t="str">
        <f>'Бартер обвесы'!D129</f>
        <v>Ветеран</v>
      </c>
      <c r="O205" s="41" t="str">
        <f>'Бартер обвесы'!E129</f>
        <v>Магазины</v>
      </c>
      <c r="P205" s="41" t="str">
        <f t="shared" si="9"/>
        <v>Обвесы</v>
      </c>
      <c r="Q205" s="42">
        <f>IF(ISNUMBER('Бартер обвесы'!G134), 'Бартер обвесы'!G134, "")</f>
        <v>109000</v>
      </c>
      <c r="R205" s="43">
        <v>2</v>
      </c>
      <c r="S205" s="41" t="s">
        <v>297</v>
      </c>
      <c r="T205" s="41" t="s">
        <v>670</v>
      </c>
      <c r="U205" s="44">
        <f t="shared" si="10"/>
        <v>1</v>
      </c>
      <c r="V205" s="44">
        <f>IF(U205=1,SUM($U$2:U205),"")</f>
        <v>204</v>
      </c>
    </row>
    <row r="206" spans="2:22">
      <c r="B206" s="47">
        <f>IFERROR(IF(MATCH(202,$V$2:$V$362,0)&gt;0,202,""),"")</f>
        <v>202</v>
      </c>
      <c r="C206" s="5" t="str">
        <f>IFERROR(INDEX($L$2:$Q$362,MATCH(202,$V$2:$V$362,0),2),"")</f>
        <v>Магазин MAG SG545</v>
      </c>
      <c r="D206" s="49" t="str">
        <f>IFERROR(INDEX($L$2:$Q$362,MATCH(202,$V$2:$V$362,0),3),"")</f>
        <v>Ветеран</v>
      </c>
      <c r="E206" s="47" t="str">
        <f>IFERROR(INDEX($L$2:$Q$362,MATCH(202,$V$2:$V$362,0),4),"")</f>
        <v>Магазины</v>
      </c>
      <c r="I206" s="46"/>
      <c r="L206" s="41">
        <f>'Бартер обвесы'!A136</f>
        <v>20</v>
      </c>
      <c r="M206" s="41" t="str">
        <f>'Бартер обвесы'!C136</f>
        <v>Увеличенный магазин ОЦ-14</v>
      </c>
      <c r="N206" s="41" t="str">
        <f>'Бартер обвесы'!D136</f>
        <v>Ветеран</v>
      </c>
      <c r="O206" s="41" t="str">
        <f>'Бартер обвесы'!E136</f>
        <v>Магазины</v>
      </c>
      <c r="P206" s="41" t="str">
        <f t="shared" si="9"/>
        <v>Обвесы</v>
      </c>
      <c r="Q206" s="42">
        <f>IF(ISNUMBER('Бартер обвесы'!G141), 'Бартер обвесы'!G141, "")</f>
        <v>109000</v>
      </c>
      <c r="R206" s="43">
        <v>2</v>
      </c>
      <c r="S206" s="41" t="s">
        <v>276</v>
      </c>
      <c r="T206" s="41" t="s">
        <v>671</v>
      </c>
      <c r="U206" s="44">
        <f t="shared" si="10"/>
        <v>1</v>
      </c>
      <c r="V206" s="44">
        <f>IF(U206=1,SUM($U$2:U206),"")</f>
        <v>205</v>
      </c>
    </row>
    <row r="207" spans="2:22">
      <c r="B207" s="47">
        <f>IFERROR(IF(MATCH(203,$V$2:$V$362,0)&gt;0,203,""),"")</f>
        <v>203</v>
      </c>
      <c r="C207" s="5" t="str">
        <f>IFERROR(INDEX($L$2:$Q$362,MATCH(203,$V$2:$V$362,0),2),"")</f>
        <v>Магазин Magpul PMAG 7.62x39</v>
      </c>
      <c r="D207" s="49" t="str">
        <f>IFERROR(INDEX($L$2:$Q$362,MATCH(203,$V$2:$V$362,0),3),"")</f>
        <v>Ветеран</v>
      </c>
      <c r="E207" s="47" t="str">
        <f>IFERROR(INDEX($L$2:$Q$362,MATCH(203,$V$2:$V$362,0),4),"")</f>
        <v>Магазины</v>
      </c>
      <c r="I207" s="46"/>
      <c r="L207" s="41">
        <f>'Бартер обвесы'!A143</f>
        <v>21</v>
      </c>
      <c r="M207" s="41" t="str">
        <f>'Бартер обвесы'!C143</f>
        <v>Глушитель АТГ</v>
      </c>
      <c r="N207" s="41" t="str">
        <f>'Бартер обвесы'!D143</f>
        <v>Ветеран</v>
      </c>
      <c r="O207" s="41" t="str">
        <f>'Бартер обвесы'!E143</f>
        <v>Надульники и глушители</v>
      </c>
      <c r="P207" s="41" t="str">
        <f t="shared" si="9"/>
        <v>Обвесы</v>
      </c>
      <c r="Q207" s="42">
        <f>IF(ISNUMBER('Бартер обвесы'!G148), 'Бартер обвесы'!G148, "")</f>
        <v>81900</v>
      </c>
      <c r="R207" s="43">
        <v>2</v>
      </c>
      <c r="S207" s="41" t="s">
        <v>299</v>
      </c>
      <c r="T207" s="41" t="s">
        <v>672</v>
      </c>
      <c r="U207" s="44">
        <f t="shared" si="10"/>
        <v>1</v>
      </c>
      <c r="V207" s="44">
        <f>IF(U207=1,SUM($U$2:U207),"")</f>
        <v>206</v>
      </c>
    </row>
    <row r="208" spans="2:22">
      <c r="B208" s="47">
        <f>IFERROR(IF(MATCH(204,$V$2:$V$362,0)&gt;0,204,""),"")</f>
        <v>204</v>
      </c>
      <c r="C208" s="5" t="str">
        <f>IFERROR(INDEX($L$2:$Q$362,MATCH(204,$V$2:$V$362,0),2),"")</f>
        <v>Магазин PMAG GEN2 M2 MOE</v>
      </c>
      <c r="D208" s="49" t="str">
        <f>IFERROR(INDEX($L$2:$Q$362,MATCH(204,$V$2:$V$362,0),3),"")</f>
        <v>Ветеран</v>
      </c>
      <c r="E208" s="47" t="str">
        <f>IFERROR(INDEX($L$2:$Q$362,MATCH(204,$V$2:$V$362,0),4),"")</f>
        <v>Магазины</v>
      </c>
      <c r="I208" s="46"/>
      <c r="L208" s="41">
        <f>'Бартер обвесы'!A150</f>
        <v>22</v>
      </c>
      <c r="M208" s="41" t="str">
        <f>'Бартер обвесы'!C150</f>
        <v>Глушитель для ОЦ-14 «Гроза»</v>
      </c>
      <c r="N208" s="41" t="str">
        <f>'Бартер обвесы'!D150</f>
        <v>Ветеран</v>
      </c>
      <c r="O208" s="41" t="str">
        <f>'Бартер обвесы'!E150</f>
        <v>Надульники и глушители</v>
      </c>
      <c r="P208" s="41" t="str">
        <f t="shared" si="9"/>
        <v>Обвесы</v>
      </c>
      <c r="Q208" s="42">
        <f>IF(ISNUMBER('Бартер обвесы'!G155), 'Бартер обвесы'!G155, "")</f>
        <v>81900</v>
      </c>
      <c r="R208" s="43">
        <v>2</v>
      </c>
      <c r="S208" s="41" t="s">
        <v>299</v>
      </c>
      <c r="T208" s="41" t="s">
        <v>673</v>
      </c>
      <c r="U208" s="44">
        <f t="shared" si="10"/>
        <v>1</v>
      </c>
      <c r="V208" s="44">
        <f>IF(U208=1,SUM($U$2:U208),"")</f>
        <v>207</v>
      </c>
    </row>
    <row r="209" spans="2:22">
      <c r="B209" s="47">
        <f>IFERROR(IF(MATCH(205,$V$2:$V$362,0)&gt;0,205,""),"")</f>
        <v>205</v>
      </c>
      <c r="C209" s="5" t="str">
        <f>IFERROR(INDEX($L$2:$Q$362,MATCH(205,$V$2:$V$362,0),2),"")</f>
        <v>Увеличенный магазин ОЦ-14</v>
      </c>
      <c r="D209" s="49" t="str">
        <f>IFERROR(INDEX($L$2:$Q$362,MATCH(205,$V$2:$V$362,0),3),"")</f>
        <v>Ветеран</v>
      </c>
      <c r="E209" s="47" t="str">
        <f>IFERROR(INDEX($L$2:$Q$362,MATCH(205,$V$2:$V$362,0),4),"")</f>
        <v>Магазины</v>
      </c>
      <c r="I209" s="46"/>
      <c r="L209" s="41">
        <f>'Бартер обвесы'!A157</f>
        <v>23</v>
      </c>
      <c r="M209" s="41" t="str">
        <f>'Бартер обвесы'!C157</f>
        <v>Глушитель KAC Style QD</v>
      </c>
      <c r="N209" s="41" t="str">
        <f>'Бартер обвесы'!D157</f>
        <v>Ветеран</v>
      </c>
      <c r="O209" s="41" t="str">
        <f>'Бартер обвесы'!E157</f>
        <v>Надульники и глушители</v>
      </c>
      <c r="P209" s="41" t="str">
        <f t="shared" si="9"/>
        <v>Обвесы</v>
      </c>
      <c r="Q209" s="42">
        <f>IF(ISNUMBER('Бартер обвесы'!G162), 'Бартер обвесы'!G162, "")</f>
        <v>81900</v>
      </c>
      <c r="R209" s="43">
        <v>2</v>
      </c>
      <c r="S209" s="41" t="s">
        <v>301</v>
      </c>
      <c r="T209" s="41" t="s">
        <v>674</v>
      </c>
      <c r="U209" s="44">
        <f t="shared" si="10"/>
        <v>1</v>
      </c>
      <c r="V209" s="44">
        <f>IF(U209=1,SUM($U$2:U209),"")</f>
        <v>208</v>
      </c>
    </row>
    <row r="210" spans="2:22">
      <c r="B210" s="47">
        <f>IFERROR(IF(MATCH(206,$V$2:$V$362,0)&gt;0,206,""),"")</f>
        <v>206</v>
      </c>
      <c r="C210" s="5" t="str">
        <f>IFERROR(INDEX($L$2:$Q$362,MATCH(206,$V$2:$V$362,0),2),"")</f>
        <v>Глушитель АТГ</v>
      </c>
      <c r="D210" s="49" t="str">
        <f>IFERROR(INDEX($L$2:$Q$362,MATCH(206,$V$2:$V$362,0),3),"")</f>
        <v>Ветеран</v>
      </c>
      <c r="E210" s="47" t="str">
        <f>IFERROR(INDEX($L$2:$Q$362,MATCH(206,$V$2:$V$362,0),4),"")</f>
        <v>Надульники и глушители</v>
      </c>
      <c r="I210" s="46"/>
      <c r="L210" s="41">
        <f>'Бартер обвесы'!A164</f>
        <v>24</v>
      </c>
      <c r="M210" s="41" t="str">
        <f>'Бартер обвесы'!C164</f>
        <v>Глушитель Osprey</v>
      </c>
      <c r="N210" s="41" t="str">
        <f>'Бартер обвесы'!D164</f>
        <v>Ветеран</v>
      </c>
      <c r="O210" s="41" t="str">
        <f>'Бартер обвесы'!E164</f>
        <v>Надульники и глушители</v>
      </c>
      <c r="P210" s="41" t="str">
        <f t="shared" si="9"/>
        <v>Обвесы</v>
      </c>
      <c r="Q210" s="42">
        <f>IF(ISNUMBER('Бартер обвесы'!G169), 'Бартер обвесы'!G169, "")</f>
        <v>81900</v>
      </c>
      <c r="R210" s="43">
        <v>2</v>
      </c>
      <c r="S210" s="41" t="s">
        <v>303</v>
      </c>
      <c r="T210" s="41" t="s">
        <v>675</v>
      </c>
      <c r="U210" s="44">
        <f t="shared" si="10"/>
        <v>1</v>
      </c>
      <c r="V210" s="44">
        <f>IF(U210=1,SUM($U$2:U210),"")</f>
        <v>209</v>
      </c>
    </row>
    <row r="211" spans="2:22">
      <c r="B211" s="47">
        <f>IFERROR(IF(MATCH(207,$V$2:$V$362,0)&gt;0,207,""),"")</f>
        <v>207</v>
      </c>
      <c r="C211" s="5" t="str">
        <f>IFERROR(INDEX($L$2:$Q$362,MATCH(207,$V$2:$V$362,0),2),"")</f>
        <v>Глушитель для ОЦ-14 «Гроза»</v>
      </c>
      <c r="D211" s="49" t="str">
        <f>IFERROR(INDEX($L$2:$Q$362,MATCH(207,$V$2:$V$362,0),3),"")</f>
        <v>Ветеран</v>
      </c>
      <c r="E211" s="47" t="str">
        <f>IFERROR(INDEX($L$2:$Q$362,MATCH(207,$V$2:$V$362,0),4),"")</f>
        <v>Надульники и глушители</v>
      </c>
      <c r="I211" s="46"/>
      <c r="L211" s="41">
        <f>'Бартер обвесы'!A171</f>
        <v>25</v>
      </c>
      <c r="M211" s="41" t="str">
        <f>'Бартер обвесы'!C171</f>
        <v>Имкас ПСУЗВ–11ТМ.12</v>
      </c>
      <c r="N211" s="41" t="str">
        <f>'Бартер обвесы'!D171</f>
        <v>Ветеран</v>
      </c>
      <c r="O211" s="41" t="str">
        <f>'Бартер обвесы'!E171</f>
        <v>Надульники и глушители</v>
      </c>
      <c r="P211" s="41" t="str">
        <f t="shared" si="9"/>
        <v>Обвесы</v>
      </c>
      <c r="Q211" s="42">
        <f>IF(ISNUMBER('Бартер обвесы'!G176), 'Бартер обвесы'!G176, "")</f>
        <v>81900</v>
      </c>
      <c r="R211" s="43">
        <v>2</v>
      </c>
      <c r="S211" s="41" t="s">
        <v>305</v>
      </c>
      <c r="T211" s="41" t="s">
        <v>676</v>
      </c>
      <c r="U211" s="44">
        <f t="shared" si="10"/>
        <v>1</v>
      </c>
      <c r="V211" s="44">
        <f>IF(U211=1,SUM($U$2:U211),"")</f>
        <v>210</v>
      </c>
    </row>
    <row r="212" spans="2:22">
      <c r="B212" s="47">
        <f>IFERROR(IF(MATCH(208,$V$2:$V$362,0)&gt;0,208,""),"")</f>
        <v>208</v>
      </c>
      <c r="C212" s="5" t="str">
        <f>IFERROR(INDEX($L$2:$Q$362,MATCH(208,$V$2:$V$362,0),2),"")</f>
        <v>Глушитель KAC Style QD</v>
      </c>
      <c r="D212" s="49" t="str">
        <f>IFERROR(INDEX($L$2:$Q$362,MATCH(208,$V$2:$V$362,0),3),"")</f>
        <v>Ветеран</v>
      </c>
      <c r="E212" s="47" t="str">
        <f>IFERROR(INDEX($L$2:$Q$362,MATCH(208,$V$2:$V$362,0),4),"")</f>
        <v>Надульники и глушители</v>
      </c>
      <c r="I212" s="46"/>
      <c r="L212" s="41">
        <f>'Бартер обвесы'!A178</f>
        <v>26</v>
      </c>
      <c r="M212" s="41" t="str">
        <f>'Бартер обвесы'!C178</f>
        <v>SIG Sauer SRD762Ti</v>
      </c>
      <c r="N212" s="41" t="str">
        <f>'Бартер обвесы'!D178</f>
        <v>Ветеран</v>
      </c>
      <c r="O212" s="41" t="str">
        <f>'Бартер обвесы'!E178</f>
        <v>Надульники и глушители</v>
      </c>
      <c r="P212" s="41" t="str">
        <f t="shared" si="9"/>
        <v>Обвесы</v>
      </c>
      <c r="Q212" s="42">
        <f>IF(ISNUMBER('Бартер обвесы'!G183), 'Бартер обвесы'!G183, "")</f>
        <v>81900</v>
      </c>
      <c r="R212" s="43">
        <v>2</v>
      </c>
      <c r="S212" s="41" t="s">
        <v>307</v>
      </c>
      <c r="T212" s="41" t="s">
        <v>677</v>
      </c>
      <c r="U212" s="44">
        <f t="shared" si="10"/>
        <v>1</v>
      </c>
      <c r="V212" s="44">
        <f>IF(U212=1,SUM($U$2:U212),"")</f>
        <v>211</v>
      </c>
    </row>
    <row r="213" spans="2:22">
      <c r="B213" s="47">
        <f>IFERROR(IF(MATCH(209,$V$2:$V$362,0)&gt;0,209,""),"")</f>
        <v>209</v>
      </c>
      <c r="C213" s="5" t="str">
        <f>IFERROR(INDEX($L$2:$Q$362,MATCH(209,$V$2:$V$362,0),2),"")</f>
        <v>Глушитель Osprey</v>
      </c>
      <c r="D213" s="49" t="str">
        <f>IFERROR(INDEX($L$2:$Q$362,MATCH(209,$V$2:$V$362,0),3),"")</f>
        <v>Ветеран</v>
      </c>
      <c r="E213" s="47" t="str">
        <f>IFERROR(INDEX($L$2:$Q$362,MATCH(209,$V$2:$V$362,0),4),"")</f>
        <v>Надульники и глушители</v>
      </c>
      <c r="I213" s="46"/>
      <c r="L213" s="41">
        <f>'Бартер обвесы'!A185</f>
        <v>27</v>
      </c>
      <c r="M213" s="41" t="str">
        <f>'Бартер обвесы'!C185</f>
        <v>ДТК Цитадель 5.45</v>
      </c>
      <c r="N213" s="41" t="str">
        <f>'Бартер обвесы'!D185</f>
        <v>Ветеран</v>
      </c>
      <c r="O213" s="41" t="str">
        <f>'Бартер обвесы'!E185</f>
        <v>Надульники и глушители</v>
      </c>
      <c r="P213" s="41" t="str">
        <f t="shared" si="9"/>
        <v>Обвесы</v>
      </c>
      <c r="Q213" s="42">
        <f>IF(ISNUMBER('Бартер обвесы'!G190), 'Бартер обвесы'!G190, "")</f>
        <v>76900</v>
      </c>
      <c r="R213" s="43">
        <v>2</v>
      </c>
      <c r="S213" s="41" t="s">
        <v>309</v>
      </c>
      <c r="T213" s="41" t="s">
        <v>678</v>
      </c>
      <c r="U213" s="44">
        <f t="shared" si="10"/>
        <v>1</v>
      </c>
      <c r="V213" s="44">
        <f>IF(U213=1,SUM($U$2:U213),"")</f>
        <v>212</v>
      </c>
    </row>
    <row r="214" spans="2:22">
      <c r="B214" s="47">
        <f>IFERROR(IF(MATCH(210,$V$2:$V$362,0)&gt;0,210,""),"")</f>
        <v>210</v>
      </c>
      <c r="C214" s="5" t="str">
        <f>IFERROR(INDEX($L$2:$Q$362,MATCH(210,$V$2:$V$362,0),2),"")</f>
        <v>Имкас ПСУЗВ–11ТМ.12</v>
      </c>
      <c r="D214" s="49" t="str">
        <f>IFERROR(INDEX($L$2:$Q$362,MATCH(210,$V$2:$V$362,0),3),"")</f>
        <v>Ветеран</v>
      </c>
      <c r="E214" s="47" t="str">
        <f>IFERROR(INDEX($L$2:$Q$362,MATCH(210,$V$2:$V$362,0),4),"")</f>
        <v>Надульники и глушители</v>
      </c>
      <c r="I214" s="46"/>
      <c r="L214" s="41">
        <f>'Бартер обвесы'!A192</f>
        <v>28</v>
      </c>
      <c r="M214" s="41" t="str">
        <f>'Бартер обвесы'!C192</f>
        <v>Удлиненный ствол 9 мм</v>
      </c>
      <c r="N214" s="41" t="str">
        <f>'Бартер обвесы'!D192</f>
        <v>Ветеран</v>
      </c>
      <c r="O214" s="41" t="str">
        <f>'Бартер обвесы'!E192</f>
        <v>Надульники и глушители</v>
      </c>
      <c r="P214" s="41" t="str">
        <f t="shared" si="9"/>
        <v>Обвесы</v>
      </c>
      <c r="Q214" s="42">
        <f>IF(ISNUMBER('Бартер обвесы'!G197), 'Бартер обвесы'!G197, "")</f>
        <v>76900</v>
      </c>
      <c r="R214" s="43">
        <v>2</v>
      </c>
      <c r="S214" s="41" t="s">
        <v>311</v>
      </c>
      <c r="T214" s="41" t="s">
        <v>679</v>
      </c>
      <c r="U214" s="44">
        <f t="shared" si="10"/>
        <v>1</v>
      </c>
      <c r="V214" s="44">
        <f>IF(U214=1,SUM($U$2:U214),"")</f>
        <v>213</v>
      </c>
    </row>
    <row r="215" spans="2:22">
      <c r="B215" s="47">
        <f>IFERROR(IF(MATCH(211,$V$2:$V$362,0)&gt;0,211,""),"")</f>
        <v>211</v>
      </c>
      <c r="C215" s="5" t="str">
        <f>IFERROR(INDEX($L$2:$Q$362,MATCH(211,$V$2:$V$362,0),2),"")</f>
        <v>SIG Sauer SRD762Ti</v>
      </c>
      <c r="D215" s="49" t="str">
        <f>IFERROR(INDEX($L$2:$Q$362,MATCH(211,$V$2:$V$362,0),3),"")</f>
        <v>Ветеран</v>
      </c>
      <c r="E215" s="47" t="str">
        <f>IFERROR(INDEX($L$2:$Q$362,MATCH(211,$V$2:$V$362,0),4),"")</f>
        <v>Надульники и глушители</v>
      </c>
      <c r="I215" s="46"/>
      <c r="L215" s="41">
        <f>'Бартер обвесы'!A199</f>
        <v>29</v>
      </c>
      <c r="M215" s="41" t="str">
        <f>'Бартер обвесы'!C199</f>
        <v>Bulletec ST-6012</v>
      </c>
      <c r="N215" s="41" t="str">
        <f>'Бартер обвесы'!D199</f>
        <v>Ветеран</v>
      </c>
      <c r="O215" s="41" t="str">
        <f>'Бартер обвесы'!E199</f>
        <v>Надульники и глушители</v>
      </c>
      <c r="P215" s="41" t="str">
        <f t="shared" si="9"/>
        <v>Обвесы</v>
      </c>
      <c r="Q215" s="42">
        <f>IF(ISNUMBER('Бартер обвесы'!G204), 'Бартер обвесы'!G204, "")</f>
        <v>76900</v>
      </c>
      <c r="R215" s="43">
        <v>2</v>
      </c>
      <c r="S215" s="41" t="s">
        <v>313</v>
      </c>
      <c r="T215" s="41" t="s">
        <v>680</v>
      </c>
      <c r="U215" s="44">
        <f t="shared" si="10"/>
        <v>1</v>
      </c>
      <c r="V215" s="44">
        <f>IF(U215=1,SUM($U$2:U215),"")</f>
        <v>214</v>
      </c>
    </row>
    <row r="216" spans="2:22">
      <c r="B216" s="47">
        <f>IFERROR(IF(MATCH(212,$V$2:$V$362,0)&gt;0,212,""),"")</f>
        <v>212</v>
      </c>
      <c r="C216" s="5" t="str">
        <f>IFERROR(INDEX($L$2:$Q$362,MATCH(212,$V$2:$V$362,0),2),"")</f>
        <v>ДТК Цитадель 5.45</v>
      </c>
      <c r="D216" s="49" t="str">
        <f>IFERROR(INDEX($L$2:$Q$362,MATCH(212,$V$2:$V$362,0),3),"")</f>
        <v>Ветеран</v>
      </c>
      <c r="E216" s="47" t="str">
        <f>IFERROR(INDEX($L$2:$Q$362,MATCH(212,$V$2:$V$362,0),4),"")</f>
        <v>Надульники и глушители</v>
      </c>
      <c r="I216" s="46"/>
      <c r="L216" s="41">
        <f>'Бартер обвесы'!A206</f>
        <v>30</v>
      </c>
      <c r="M216" s="41" t="str">
        <f>'Бартер обвесы'!C206</f>
        <v>GE-OCTO Gunethics</v>
      </c>
      <c r="N216" s="41" t="str">
        <f>'Бартер обвесы'!D206</f>
        <v>Ветеран</v>
      </c>
      <c r="O216" s="41" t="str">
        <f>'Бартер обвесы'!E206</f>
        <v>Надульники и глушители</v>
      </c>
      <c r="P216" s="41" t="str">
        <f t="shared" si="9"/>
        <v>Обвесы</v>
      </c>
      <c r="Q216" s="42">
        <f>IF(ISNUMBER('Бартер обвесы'!G211), 'Бартер обвесы'!G211, "")</f>
        <v>76900</v>
      </c>
      <c r="R216" s="43">
        <v>2</v>
      </c>
      <c r="S216" s="41" t="s">
        <v>315</v>
      </c>
      <c r="T216" s="41" t="s">
        <v>681</v>
      </c>
      <c r="U216" s="44">
        <f t="shared" si="10"/>
        <v>1</v>
      </c>
      <c r="V216" s="44">
        <f>IF(U216=1,SUM($U$2:U216),"")</f>
        <v>215</v>
      </c>
    </row>
    <row r="217" spans="2:22">
      <c r="B217" s="47">
        <f>IFERROR(IF(MATCH(213,$V$2:$V$362,0)&gt;0,213,""),"")</f>
        <v>213</v>
      </c>
      <c r="C217" s="5" t="str">
        <f>IFERROR(INDEX($L$2:$Q$362,MATCH(213,$V$2:$V$362,0),2),"")</f>
        <v>Удлиненный ствол 9 мм</v>
      </c>
      <c r="D217" s="49" t="str">
        <f>IFERROR(INDEX($L$2:$Q$362,MATCH(213,$V$2:$V$362,0),3),"")</f>
        <v>Ветеран</v>
      </c>
      <c r="E217" s="47" t="str">
        <f>IFERROR(INDEX($L$2:$Q$362,MATCH(213,$V$2:$V$362,0),4),"")</f>
        <v>Надульники и глушители</v>
      </c>
      <c r="I217" s="46"/>
      <c r="L217" s="41">
        <f>'Бартер обвесы'!A213</f>
        <v>31</v>
      </c>
      <c r="M217" s="41" t="str">
        <f>'Бартер обвесы'!C213</f>
        <v>Jmac Customs RDC 4C 5.45</v>
      </c>
      <c r="N217" s="41" t="str">
        <f>'Бартер обвесы'!D213</f>
        <v>Ветеран</v>
      </c>
      <c r="O217" s="41" t="str">
        <f>'Бартер обвесы'!E213</f>
        <v>Надульники и глушители</v>
      </c>
      <c r="P217" s="41" t="str">
        <f t="shared" si="9"/>
        <v>Обвесы</v>
      </c>
      <c r="Q217" s="42">
        <f>IF(ISNUMBER('Бартер обвесы'!G218), 'Бартер обвесы'!G218, "")</f>
        <v>76900</v>
      </c>
      <c r="R217" s="43">
        <v>2</v>
      </c>
      <c r="S217" s="41" t="s">
        <v>317</v>
      </c>
      <c r="T217" s="41" t="s">
        <v>682</v>
      </c>
      <c r="U217" s="44">
        <f t="shared" si="10"/>
        <v>1</v>
      </c>
      <c r="V217" s="44">
        <f>IF(U217=1,SUM($U$2:U217),"")</f>
        <v>216</v>
      </c>
    </row>
    <row r="218" spans="2:22">
      <c r="B218" s="47">
        <f>IFERROR(IF(MATCH(214,$V$2:$V$362,0)&gt;0,214,""),"")</f>
        <v>214</v>
      </c>
      <c r="C218" s="5" t="str">
        <f>IFERROR(INDEX($L$2:$Q$362,MATCH(214,$V$2:$V$362,0),2),"")</f>
        <v>Bulletec ST-6012</v>
      </c>
      <c r="D218" s="49" t="str">
        <f>IFERROR(INDEX($L$2:$Q$362,MATCH(214,$V$2:$V$362,0),3),"")</f>
        <v>Ветеран</v>
      </c>
      <c r="E218" s="47" t="str">
        <f>IFERROR(INDEX($L$2:$Q$362,MATCH(214,$V$2:$V$362,0),4),"")</f>
        <v>Надульники и глушители</v>
      </c>
      <c r="I218" s="46"/>
      <c r="L218" s="41">
        <f>'Бартер обвесы'!A220</f>
        <v>32</v>
      </c>
      <c r="M218" s="41" t="str">
        <f>'Бартер обвесы'!C220</f>
        <v>Jmac Customs RDC 4C 7.62</v>
      </c>
      <c r="N218" s="41" t="str">
        <f>'Бартер обвесы'!D220</f>
        <v>Ветеран</v>
      </c>
      <c r="O218" s="41" t="str">
        <f>'Бартер обвесы'!E220</f>
        <v>Надульники и глушители</v>
      </c>
      <c r="P218" s="41" t="str">
        <f t="shared" si="9"/>
        <v>Обвесы</v>
      </c>
      <c r="Q218" s="42">
        <f>IF(ISNUMBER('Бартер обвесы'!G225), 'Бартер обвесы'!G225, "")</f>
        <v>76900</v>
      </c>
      <c r="R218" s="43">
        <v>2</v>
      </c>
      <c r="S218" s="41" t="s">
        <v>319</v>
      </c>
      <c r="T218" s="41" t="s">
        <v>683</v>
      </c>
      <c r="U218" s="44">
        <f t="shared" si="10"/>
        <v>1</v>
      </c>
      <c r="V218" s="44">
        <f>IF(U218=1,SUM($U$2:U218),"")</f>
        <v>217</v>
      </c>
    </row>
    <row r="219" spans="2:22">
      <c r="B219" s="47">
        <f>IFERROR(IF(MATCH(215,$V$2:$V$362,0)&gt;0,215,""),"")</f>
        <v>215</v>
      </c>
      <c r="C219" s="5" t="str">
        <f>IFERROR(INDEX($L$2:$Q$362,MATCH(215,$V$2:$V$362,0),2),"")</f>
        <v>GE-OCTO Gunethics</v>
      </c>
      <c r="D219" s="49" t="str">
        <f>IFERROR(INDEX($L$2:$Q$362,MATCH(215,$V$2:$V$362,0),3),"")</f>
        <v>Ветеран</v>
      </c>
      <c r="E219" s="47" t="str">
        <f>IFERROR(INDEX($L$2:$Q$362,MATCH(215,$V$2:$V$362,0),4),"")</f>
        <v>Надульники и глушители</v>
      </c>
      <c r="I219" s="46"/>
      <c r="L219" s="41">
        <f>'Бартер обвесы'!A227</f>
        <v>33</v>
      </c>
      <c r="M219" s="41" t="str">
        <f>'Бартер обвесы'!C227</f>
        <v>Odin Works ATLAS 7.62x51</v>
      </c>
      <c r="N219" s="41" t="str">
        <f>'Бартер обвесы'!D227</f>
        <v>Ветеран</v>
      </c>
      <c r="O219" s="41" t="str">
        <f>'Бартер обвесы'!E227</f>
        <v>Надульники и глушители</v>
      </c>
      <c r="P219" s="41" t="str">
        <f t="shared" ref="P219:P250" si="11">"Обвесы"</f>
        <v>Обвесы</v>
      </c>
      <c r="Q219" s="42">
        <f>IF(ISNUMBER('Бартер обвесы'!G232), 'Бартер обвесы'!G232, "")</f>
        <v>76900</v>
      </c>
      <c r="R219" s="43">
        <v>2</v>
      </c>
      <c r="S219" s="41" t="s">
        <v>321</v>
      </c>
      <c r="T219" s="41" t="s">
        <v>684</v>
      </c>
      <c r="U219" s="44">
        <f t="shared" si="10"/>
        <v>1</v>
      </c>
      <c r="V219" s="44">
        <f>IF(U219=1,SUM($U$2:U219),"")</f>
        <v>218</v>
      </c>
    </row>
    <row r="220" spans="2:22">
      <c r="B220" s="47">
        <f>IFERROR(IF(MATCH(216,$V$2:$V$362,0)&gt;0,216,""),"")</f>
        <v>216</v>
      </c>
      <c r="C220" s="5" t="str">
        <f>IFERROR(INDEX($L$2:$Q$362,MATCH(216,$V$2:$V$362,0),2),"")</f>
        <v>Jmac Customs RDC 4C 5.45</v>
      </c>
      <c r="D220" s="49" t="str">
        <f>IFERROR(INDEX($L$2:$Q$362,MATCH(216,$V$2:$V$362,0),3),"")</f>
        <v>Ветеран</v>
      </c>
      <c r="E220" s="47" t="str">
        <f>IFERROR(INDEX($L$2:$Q$362,MATCH(216,$V$2:$V$362,0),4),"")</f>
        <v>Надульники и глушители</v>
      </c>
      <c r="I220" s="46"/>
      <c r="L220" s="41">
        <f>'Бартер обвесы'!A234</f>
        <v>34</v>
      </c>
      <c r="M220" s="41" t="str">
        <f>'Бартер обвесы'!C234</f>
        <v>Venom Tactical Antidote</v>
      </c>
      <c r="N220" s="41" t="str">
        <f>'Бартер обвесы'!D234</f>
        <v>Ветеран</v>
      </c>
      <c r="O220" s="41" t="str">
        <f>'Бартер обвесы'!E234</f>
        <v>Надульники и глушители</v>
      </c>
      <c r="P220" s="41" t="str">
        <f t="shared" si="11"/>
        <v>Обвесы</v>
      </c>
      <c r="Q220" s="42">
        <f>IF(ISNUMBER('Бартер обвесы'!G239), 'Бартер обвесы'!G239, "")</f>
        <v>76900</v>
      </c>
      <c r="R220" s="43">
        <v>2</v>
      </c>
      <c r="S220" s="41" t="s">
        <v>283</v>
      </c>
      <c r="T220" s="41" t="s">
        <v>685</v>
      </c>
      <c r="U220" s="44">
        <f t="shared" si="10"/>
        <v>1</v>
      </c>
      <c r="V220" s="44">
        <f>IF(U220=1,SUM($U$2:U220),"")</f>
        <v>219</v>
      </c>
    </row>
    <row r="221" spans="2:22">
      <c r="B221" s="47">
        <f>IFERROR(IF(MATCH(217,$V$2:$V$362,0)&gt;0,217,""),"")</f>
        <v>217</v>
      </c>
      <c r="C221" s="5" t="str">
        <f>IFERROR(INDEX($L$2:$Q$362,MATCH(217,$V$2:$V$362,0),2),"")</f>
        <v>Jmac Customs RDC 4C 7.62</v>
      </c>
      <c r="D221" s="49" t="str">
        <f>IFERROR(INDEX($L$2:$Q$362,MATCH(217,$V$2:$V$362,0),3),"")</f>
        <v>Ветеран</v>
      </c>
      <c r="E221" s="47" t="str">
        <f>IFERROR(INDEX($L$2:$Q$362,MATCH(217,$V$2:$V$362,0),4),"")</f>
        <v>Надульники и глушители</v>
      </c>
      <c r="I221" s="46"/>
      <c r="L221" s="41">
        <f>'Бартер обвесы'!A241</f>
        <v>35</v>
      </c>
      <c r="M221" s="41" t="str">
        <f>'Бартер обвесы'!C241</f>
        <v>VG6 EPSILON 556 Muzzle Brake</v>
      </c>
      <c r="N221" s="41" t="str">
        <f>'Бартер обвесы'!D241</f>
        <v>Ветеран</v>
      </c>
      <c r="O221" s="41" t="str">
        <f>'Бартер обвесы'!E241</f>
        <v>Надульники и глушители</v>
      </c>
      <c r="P221" s="41" t="str">
        <f t="shared" si="11"/>
        <v>Обвесы</v>
      </c>
      <c r="Q221" s="42">
        <f>IF(ISNUMBER('Бартер обвесы'!G246), 'Бартер обвесы'!G246, "")</f>
        <v>76900</v>
      </c>
      <c r="R221" s="43">
        <v>2</v>
      </c>
      <c r="S221" s="41" t="s">
        <v>324</v>
      </c>
      <c r="T221" s="41" t="s">
        <v>686</v>
      </c>
      <c r="U221" s="44">
        <f t="shared" si="10"/>
        <v>1</v>
      </c>
      <c r="V221" s="44">
        <f>IF(U221=1,SUM($U$2:U221),"")</f>
        <v>220</v>
      </c>
    </row>
    <row r="222" spans="2:22">
      <c r="B222" s="47">
        <f>IFERROR(IF(MATCH(218,$V$2:$V$362,0)&gt;0,218,""),"")</f>
        <v>218</v>
      </c>
      <c r="C222" s="5" t="str">
        <f>IFERROR(INDEX($L$2:$Q$362,MATCH(218,$V$2:$V$362,0),2),"")</f>
        <v>Odin Works ATLAS 7.62x51</v>
      </c>
      <c r="D222" s="49" t="str">
        <f>IFERROR(INDEX($L$2:$Q$362,MATCH(218,$V$2:$V$362,0),3),"")</f>
        <v>Ветеран</v>
      </c>
      <c r="E222" s="47" t="str">
        <f>IFERROR(INDEX($L$2:$Q$362,MATCH(218,$V$2:$V$362,0),4),"")</f>
        <v>Надульники и глушители</v>
      </c>
      <c r="I222" s="46"/>
      <c r="L222" s="41">
        <f>'Бартер обвесы'!A248</f>
        <v>36</v>
      </c>
      <c r="M222" s="41" t="str">
        <f>'Бартер обвесы'!C248</f>
        <v>VG6 EPSILON 762 Muzzle Brake</v>
      </c>
      <c r="N222" s="41" t="str">
        <f>'Бартер обвесы'!D248</f>
        <v>Ветеран</v>
      </c>
      <c r="O222" s="41" t="str">
        <f>'Бартер обвесы'!E248</f>
        <v>Надульники и глушители</v>
      </c>
      <c r="P222" s="41" t="str">
        <f t="shared" si="11"/>
        <v>Обвесы</v>
      </c>
      <c r="Q222" s="42">
        <f>IF(ISNUMBER('Бартер обвесы'!G253), 'Бартер обвесы'!G253, "")</f>
        <v>76900</v>
      </c>
      <c r="R222" s="43">
        <v>2</v>
      </c>
      <c r="S222" s="41" t="s">
        <v>326</v>
      </c>
      <c r="T222" s="41" t="s">
        <v>687</v>
      </c>
      <c r="U222" s="44">
        <f t="shared" si="10"/>
        <v>1</v>
      </c>
      <c r="V222" s="44">
        <f>IF(U222=1,SUM($U$2:U222),"")</f>
        <v>221</v>
      </c>
    </row>
    <row r="223" spans="2:22">
      <c r="B223" s="47">
        <f>IFERROR(IF(MATCH(219,$V$2:$V$362,0)&gt;0,219,""),"")</f>
        <v>219</v>
      </c>
      <c r="C223" s="5" t="str">
        <f>IFERROR(INDEX($L$2:$Q$362,MATCH(219,$V$2:$V$362,0),2),"")</f>
        <v>Venom Tactical Antidote</v>
      </c>
      <c r="D223" s="49" t="str">
        <f>IFERROR(INDEX($L$2:$Q$362,MATCH(219,$V$2:$V$362,0),3),"")</f>
        <v>Ветеран</v>
      </c>
      <c r="E223" s="47" t="str">
        <f>IFERROR(INDEX($L$2:$Q$362,MATCH(219,$V$2:$V$362,0),4),"")</f>
        <v>Надульники и глушители</v>
      </c>
      <c r="I223" s="46"/>
      <c r="L223" s="41">
        <f>'Бартер обвесы'!A255</f>
        <v>37</v>
      </c>
      <c r="M223" s="41" t="str">
        <f>'Бартер обвесы'!C255</f>
        <v>Магазин 5.45 «Вафля»</v>
      </c>
      <c r="N223" s="41" t="str">
        <f>'Бартер обвесы'!D255</f>
        <v>Ветеран</v>
      </c>
      <c r="O223" s="41" t="str">
        <f>'Бартер обвесы'!E255</f>
        <v>Магазины</v>
      </c>
      <c r="P223" s="41" t="str">
        <f t="shared" si="11"/>
        <v>Обвесы</v>
      </c>
      <c r="Q223" s="42">
        <f>IF(ISNUMBER('Бартер обвесы'!G260), 'Бартер обвесы'!G260, "")</f>
        <v>67600</v>
      </c>
      <c r="R223" s="43">
        <v>1</v>
      </c>
      <c r="S223" s="41" t="s">
        <v>327</v>
      </c>
      <c r="T223" s="41" t="s">
        <v>688</v>
      </c>
      <c r="U223" s="44">
        <f t="shared" si="10"/>
        <v>1</v>
      </c>
      <c r="V223" s="44">
        <f>IF(U223=1,SUM($U$2:U223),"")</f>
        <v>222</v>
      </c>
    </row>
    <row r="224" spans="2:22">
      <c r="B224" s="47">
        <f>IFERROR(IF(MATCH(220,$V$2:$V$362,0)&gt;0,220,""),"")</f>
        <v>220</v>
      </c>
      <c r="C224" s="5" t="str">
        <f>IFERROR(INDEX($L$2:$Q$362,MATCH(220,$V$2:$V$362,0),2),"")</f>
        <v>VG6 EPSILON 556 Muzzle Brake</v>
      </c>
      <c r="D224" s="49" t="str">
        <f>IFERROR(INDEX($L$2:$Q$362,MATCH(220,$V$2:$V$362,0),3),"")</f>
        <v>Ветеран</v>
      </c>
      <c r="E224" s="47" t="str">
        <f>IFERROR(INDEX($L$2:$Q$362,MATCH(220,$V$2:$V$362,0),4),"")</f>
        <v>Надульники и глушители</v>
      </c>
      <c r="I224" s="46"/>
      <c r="L224" s="41">
        <f>'Бартер обвесы'!A262</f>
        <v>38</v>
      </c>
      <c r="M224" s="41" t="str">
        <f>'Бартер обвесы'!C262</f>
        <v>Магазин АКМ десантный</v>
      </c>
      <c r="N224" s="41" t="str">
        <f>'Бартер обвесы'!D262</f>
        <v>Ветеран</v>
      </c>
      <c r="O224" s="41" t="str">
        <f>'Бартер обвесы'!E262</f>
        <v>Магазины</v>
      </c>
      <c r="P224" s="41" t="str">
        <f t="shared" si="11"/>
        <v>Обвесы</v>
      </c>
      <c r="Q224" s="42">
        <f>IF(ISNUMBER('Бартер обвесы'!G267), 'Бартер обвесы'!G267, "")</f>
        <v>67600</v>
      </c>
      <c r="R224" s="43">
        <v>1</v>
      </c>
      <c r="S224" s="41" t="s">
        <v>327</v>
      </c>
      <c r="T224" s="41" t="s">
        <v>689</v>
      </c>
      <c r="U224" s="44">
        <f t="shared" si="10"/>
        <v>1</v>
      </c>
      <c r="V224" s="44">
        <f>IF(U224=1,SUM($U$2:U224),"")</f>
        <v>223</v>
      </c>
    </row>
    <row r="225" spans="2:22">
      <c r="B225" s="47">
        <f>IFERROR(IF(MATCH(221,$V$2:$V$362,0)&gt;0,221,""),"")</f>
        <v>221</v>
      </c>
      <c r="C225" s="5" t="str">
        <f>IFERROR(INDEX($L$2:$Q$362,MATCH(221,$V$2:$V$362,0),2),"")</f>
        <v>VG6 EPSILON 762 Muzzle Brake</v>
      </c>
      <c r="D225" s="49" t="str">
        <f>IFERROR(INDEX($L$2:$Q$362,MATCH(221,$V$2:$V$362,0),3),"")</f>
        <v>Ветеран</v>
      </c>
      <c r="E225" s="47" t="str">
        <f>IFERROR(INDEX($L$2:$Q$362,MATCH(221,$V$2:$V$362,0),4),"")</f>
        <v>Надульники и глушители</v>
      </c>
      <c r="I225" s="46"/>
      <c r="L225" s="41">
        <f>'Бартер обвесы'!A269</f>
        <v>39</v>
      </c>
      <c r="M225" s="41" t="str">
        <f>'Бартер обвесы'!C269</f>
        <v>Тактический блок Зенит «Перст-3»</v>
      </c>
      <c r="N225" s="41" t="str">
        <f>'Бартер обвесы'!D269</f>
        <v>Ветеран</v>
      </c>
      <c r="O225" s="41" t="str">
        <f>'Бартер обвесы'!E269</f>
        <v>Другое</v>
      </c>
      <c r="P225" s="41" t="str">
        <f t="shared" si="11"/>
        <v>Обвесы</v>
      </c>
      <c r="Q225" s="42">
        <f>IF(ISNUMBER('Бартер обвесы'!G274), 'Бартер обвесы'!G274, "")</f>
        <v>66300</v>
      </c>
      <c r="R225" s="43">
        <v>2</v>
      </c>
      <c r="S225" s="41" t="s">
        <v>329</v>
      </c>
      <c r="T225" s="41" t="s">
        <v>690</v>
      </c>
      <c r="U225" s="44">
        <f t="shared" si="10"/>
        <v>1</v>
      </c>
      <c r="V225" s="44">
        <f>IF(U225=1,SUM($U$2:U225),"")</f>
        <v>224</v>
      </c>
    </row>
    <row r="226" spans="2:22">
      <c r="B226" s="47">
        <f>IFERROR(IF(MATCH(222,$V$2:$V$362,0)&gt;0,222,""),"")</f>
        <v>222</v>
      </c>
      <c r="C226" s="5" t="str">
        <f>IFERROR(INDEX($L$2:$Q$362,MATCH(222,$V$2:$V$362,0),2),"")</f>
        <v>Магазин 5.45 «Вафля»</v>
      </c>
      <c r="D226" s="49" t="str">
        <f>IFERROR(INDEX($L$2:$Q$362,MATCH(222,$V$2:$V$362,0),3),"")</f>
        <v>Ветеран</v>
      </c>
      <c r="E226" s="47" t="str">
        <f>IFERROR(INDEX($L$2:$Q$362,MATCH(222,$V$2:$V$362,0),4),"")</f>
        <v>Магазины</v>
      </c>
      <c r="I226" s="46"/>
      <c r="L226" s="41">
        <f>'Бартер обвесы'!A276</f>
        <v>40</v>
      </c>
      <c r="M226" s="41" t="str">
        <f>'Бартер обвесы'!C276</f>
        <v>РК-1</v>
      </c>
      <c r="N226" s="41" t="str">
        <f>'Бартер обвесы'!D276</f>
        <v>Ветеран</v>
      </c>
      <c r="O226" s="41" t="str">
        <f>'Бартер обвесы'!E276</f>
        <v>Рукоятки</v>
      </c>
      <c r="P226" s="41" t="str">
        <f t="shared" si="11"/>
        <v>Обвесы</v>
      </c>
      <c r="Q226" s="42">
        <f>IF(ISNUMBER('Бартер обвесы'!G281), 'Бартер обвесы'!G281, "")</f>
        <v>59800</v>
      </c>
      <c r="R226" s="43">
        <v>2</v>
      </c>
      <c r="S226" s="41" t="s">
        <v>332</v>
      </c>
      <c r="T226" s="41" t="s">
        <v>691</v>
      </c>
      <c r="U226" s="44">
        <f t="shared" si="10"/>
        <v>1</v>
      </c>
      <c r="V226" s="44">
        <f>IF(U226=1,SUM($U$2:U226),"")</f>
        <v>225</v>
      </c>
    </row>
    <row r="227" spans="2:22">
      <c r="B227" s="47">
        <f>IFERROR(IF(MATCH(223,$V$2:$V$362,0)&gt;0,223,""),"")</f>
        <v>223</v>
      </c>
      <c r="C227" s="5" t="str">
        <f>IFERROR(INDEX($L$2:$Q$362,MATCH(223,$V$2:$V$362,0),2),"")</f>
        <v>Магазин АКМ десантный</v>
      </c>
      <c r="D227" s="49" t="str">
        <f>IFERROR(INDEX($L$2:$Q$362,MATCH(223,$V$2:$V$362,0),3),"")</f>
        <v>Ветеран</v>
      </c>
      <c r="E227" s="47" t="str">
        <f>IFERROR(INDEX($L$2:$Q$362,MATCH(223,$V$2:$V$362,0),4),"")</f>
        <v>Магазины</v>
      </c>
      <c r="I227" s="46"/>
      <c r="L227" s="41">
        <f>'Бартер обвесы'!A283</f>
        <v>41</v>
      </c>
      <c r="M227" s="41" t="str">
        <f>'Бартер обвесы'!C283</f>
        <v>Тактическая рукоятка Fortis SHIFT Vertical, черная</v>
      </c>
      <c r="N227" s="41" t="str">
        <f>'Бартер обвесы'!D283</f>
        <v>Ветеран</v>
      </c>
      <c r="O227" s="41" t="str">
        <f>'Бартер обвесы'!E283</f>
        <v>Рукоятки</v>
      </c>
      <c r="P227" s="41" t="str">
        <f t="shared" si="11"/>
        <v>Обвесы</v>
      </c>
      <c r="Q227" s="42">
        <f>IF(ISNUMBER('Бартер обвесы'!G288), 'Бартер обвесы'!G288, "")</f>
        <v>59800</v>
      </c>
      <c r="R227" s="43">
        <v>2</v>
      </c>
      <c r="S227" s="41" t="s">
        <v>334</v>
      </c>
      <c r="T227" s="41" t="s">
        <v>692</v>
      </c>
      <c r="U227" s="44">
        <f t="shared" si="10"/>
        <v>1</v>
      </c>
      <c r="V227" s="44">
        <f>IF(U227=1,SUM($U$2:U227),"")</f>
        <v>226</v>
      </c>
    </row>
    <row r="228" spans="2:22">
      <c r="B228" s="47">
        <f>IFERROR(IF(MATCH(224,$V$2:$V$362,0)&gt;0,224,""),"")</f>
        <v>224</v>
      </c>
      <c r="C228" s="5" t="str">
        <f>IFERROR(INDEX($L$2:$Q$362,MATCH(224,$V$2:$V$362,0),2),"")</f>
        <v>Тактический блок Зенит «Перст-3»</v>
      </c>
      <c r="D228" s="49" t="str">
        <f>IFERROR(INDEX($L$2:$Q$362,MATCH(224,$V$2:$V$362,0),3),"")</f>
        <v>Ветеран</v>
      </c>
      <c r="E228" s="47" t="str">
        <f>IFERROR(INDEX($L$2:$Q$362,MATCH(224,$V$2:$V$362,0),4),"")</f>
        <v>Другое</v>
      </c>
      <c r="I228" s="46"/>
      <c r="L228" s="41">
        <f>'Бартер обвесы'!A290</f>
        <v>42</v>
      </c>
      <c r="M228" s="41" t="str">
        <f>'Бартер обвесы'!C290</f>
        <v>Magpul RVG</v>
      </c>
      <c r="N228" s="41" t="str">
        <f>'Бартер обвесы'!D290</f>
        <v>Ветеран</v>
      </c>
      <c r="O228" s="41" t="str">
        <f>'Бартер обвесы'!E290</f>
        <v>Рукоятки</v>
      </c>
      <c r="P228" s="41" t="str">
        <f t="shared" si="11"/>
        <v>Обвесы</v>
      </c>
      <c r="Q228" s="42">
        <f>IF(ISNUMBER('Бартер обвесы'!G295), 'Бартер обвесы'!G295, "")</f>
        <v>59800</v>
      </c>
      <c r="R228" s="43">
        <v>2</v>
      </c>
      <c r="S228" s="41" t="s">
        <v>336</v>
      </c>
      <c r="T228" s="41" t="s">
        <v>693</v>
      </c>
      <c r="U228" s="44">
        <f t="shared" si="10"/>
        <v>1</v>
      </c>
      <c r="V228" s="44">
        <f>IF(U228=1,SUM($U$2:U228),"")</f>
        <v>227</v>
      </c>
    </row>
    <row r="229" spans="2:22">
      <c r="B229" s="47">
        <f>IFERROR(IF(MATCH(225,$V$2:$V$362,0)&gt;0,225,""),"")</f>
        <v>225</v>
      </c>
      <c r="C229" s="5" t="str">
        <f>IFERROR(INDEX($L$2:$Q$362,MATCH(225,$V$2:$V$362,0),2),"")</f>
        <v>РК-1</v>
      </c>
      <c r="D229" s="49" t="str">
        <f>IFERROR(INDEX($L$2:$Q$362,MATCH(225,$V$2:$V$362,0),3),"")</f>
        <v>Ветеран</v>
      </c>
      <c r="E229" s="47" t="str">
        <f>IFERROR(INDEX($L$2:$Q$362,MATCH(225,$V$2:$V$362,0),4),"")</f>
        <v>Рукоятки</v>
      </c>
      <c r="I229" s="46"/>
      <c r="L229" s="41">
        <f>'Бартер обвесы'!A297</f>
        <v>43</v>
      </c>
      <c r="M229" s="41" t="str">
        <f>'Бартер обвесы'!C297</f>
        <v>Магазин 5.45 пластиковый</v>
      </c>
      <c r="N229" s="41" t="str">
        <f>'Бартер обвесы'!D297</f>
        <v>Ветеран</v>
      </c>
      <c r="O229" s="41" t="str">
        <f>'Бартер обвесы'!E297</f>
        <v>Магазины</v>
      </c>
      <c r="P229" s="41" t="str">
        <f t="shared" si="11"/>
        <v>Обвесы</v>
      </c>
      <c r="Q229" s="42">
        <f>IF(ISNUMBER('Бартер обвесы'!G302), 'Бартер обвесы'!G302, "")</f>
        <v>56500</v>
      </c>
      <c r="R229" s="43">
        <v>1</v>
      </c>
      <c r="S229" s="41" t="s">
        <v>337</v>
      </c>
      <c r="T229" s="41" t="s">
        <v>694</v>
      </c>
      <c r="U229" s="44">
        <f t="shared" si="10"/>
        <v>1</v>
      </c>
      <c r="V229" s="44">
        <f>IF(U229=1,SUM($U$2:U229),"")</f>
        <v>228</v>
      </c>
    </row>
    <row r="230" spans="2:22">
      <c r="B230" s="47">
        <f>IFERROR(IF(MATCH(226,$V$2:$V$362,0)&gt;0,226,""),"")</f>
        <v>226</v>
      </c>
      <c r="C230" s="5" t="str">
        <f>IFERROR(INDEX($L$2:$Q$362,MATCH(226,$V$2:$V$362,0),2),"")</f>
        <v>Тактическая рукоятка Fortis SHIFT Vertical, черная</v>
      </c>
      <c r="D230" s="49" t="str">
        <f>IFERROR(INDEX($L$2:$Q$362,MATCH(226,$V$2:$V$362,0),3),"")</f>
        <v>Ветеран</v>
      </c>
      <c r="E230" s="47" t="str">
        <f>IFERROR(INDEX($L$2:$Q$362,MATCH(226,$V$2:$V$362,0),4),"")</f>
        <v>Рукоятки</v>
      </c>
      <c r="I230" s="46"/>
      <c r="L230" s="41">
        <f>'Бартер обвесы'!A304</f>
        <v>44</v>
      </c>
      <c r="M230" s="41" t="str">
        <f>'Бартер обвесы'!C304</f>
        <v>Магазин 5.56 NATO STANAG</v>
      </c>
      <c r="N230" s="41" t="str">
        <f>'Бартер обвесы'!D304</f>
        <v>Ветеран</v>
      </c>
      <c r="O230" s="41" t="str">
        <f>'Бартер обвесы'!E304</f>
        <v>Магазины</v>
      </c>
      <c r="P230" s="41" t="str">
        <f t="shared" si="11"/>
        <v>Обвесы</v>
      </c>
      <c r="Q230" s="42">
        <f>IF(ISNUMBER('Бартер обвесы'!G309), 'Бартер обвесы'!G309, "")</f>
        <v>56500</v>
      </c>
      <c r="R230" s="43">
        <v>1</v>
      </c>
      <c r="S230" s="41" t="s">
        <v>338</v>
      </c>
      <c r="T230" s="41" t="s">
        <v>695</v>
      </c>
      <c r="U230" s="44">
        <f t="shared" si="10"/>
        <v>1</v>
      </c>
      <c r="V230" s="44">
        <f>IF(U230=1,SUM($U$2:U230),"")</f>
        <v>229</v>
      </c>
    </row>
    <row r="231" spans="2:22">
      <c r="B231" s="47">
        <f>IFERROR(IF(MATCH(227,$V$2:$V$362,0)&gt;0,227,""),"")</f>
        <v>227</v>
      </c>
      <c r="C231" s="5" t="str">
        <f>IFERROR(INDEX($L$2:$Q$362,MATCH(227,$V$2:$V$362,0),2),"")</f>
        <v>Magpul RVG</v>
      </c>
      <c r="D231" s="49" t="str">
        <f>IFERROR(INDEX($L$2:$Q$362,MATCH(227,$V$2:$V$362,0),3),"")</f>
        <v>Ветеран</v>
      </c>
      <c r="E231" s="47" t="str">
        <f>IFERROR(INDEX($L$2:$Q$362,MATCH(227,$V$2:$V$362,0),4),"")</f>
        <v>Рукоятки</v>
      </c>
      <c r="I231" s="46"/>
      <c r="L231" s="41">
        <f>'Бартер обвесы'!A311</f>
        <v>45</v>
      </c>
      <c r="M231" s="41" t="str">
        <f>'Бартер обвесы'!C311</f>
        <v>Магазин 5.56 Pufgun, черный</v>
      </c>
      <c r="N231" s="41" t="str">
        <f>'Бартер обвесы'!D311</f>
        <v>Ветеран</v>
      </c>
      <c r="O231" s="41" t="str">
        <f>'Бартер обвесы'!E311</f>
        <v>Магазины</v>
      </c>
      <c r="P231" s="41" t="str">
        <f t="shared" si="11"/>
        <v>Обвесы</v>
      </c>
      <c r="Q231" s="42">
        <f>IF(ISNUMBER('Бартер обвесы'!G316), 'Бартер обвесы'!G316, "")</f>
        <v>56500</v>
      </c>
      <c r="R231" s="43">
        <v>1</v>
      </c>
      <c r="S231" s="41" t="s">
        <v>338</v>
      </c>
      <c r="T231" s="41" t="s">
        <v>696</v>
      </c>
      <c r="U231" s="44">
        <f t="shared" si="10"/>
        <v>1</v>
      </c>
      <c r="V231" s="44">
        <f>IF(U231=1,SUM($U$2:U231),"")</f>
        <v>230</v>
      </c>
    </row>
    <row r="232" spans="2:22">
      <c r="B232" s="47">
        <f>IFERROR(IF(MATCH(228,$V$2:$V$362,0)&gt;0,228,""),"")</f>
        <v>228</v>
      </c>
      <c r="C232" s="5" t="str">
        <f>IFERROR(INDEX($L$2:$Q$362,MATCH(228,$V$2:$V$362,0),2),"")</f>
        <v>Магазин 5.45 пластиковый</v>
      </c>
      <c r="D232" s="49" t="str">
        <f>IFERROR(INDEX($L$2:$Q$362,MATCH(228,$V$2:$V$362,0),3),"")</f>
        <v>Ветеран</v>
      </c>
      <c r="E232" s="47" t="str">
        <f>IFERROR(INDEX($L$2:$Q$362,MATCH(228,$V$2:$V$362,0),4),"")</f>
        <v>Магазины</v>
      </c>
      <c r="I232" s="46"/>
      <c r="L232" s="41">
        <f>'Бартер обвесы'!A318</f>
        <v>46</v>
      </c>
      <c r="M232" s="41" t="str">
        <f>'Бартер обвесы'!C318</f>
        <v>Магазин 7.62 пластиковый</v>
      </c>
      <c r="N232" s="41" t="str">
        <f>'Бартер обвесы'!D318</f>
        <v>Ветеран</v>
      </c>
      <c r="O232" s="41" t="str">
        <f>'Бартер обвесы'!E318</f>
        <v>Магазины</v>
      </c>
      <c r="P232" s="41" t="str">
        <f t="shared" si="11"/>
        <v>Обвесы</v>
      </c>
      <c r="Q232" s="42">
        <f>IF(ISNUMBER('Бартер обвесы'!G323), 'Бартер обвесы'!G323, "")</f>
        <v>56500</v>
      </c>
      <c r="R232" s="43">
        <v>1</v>
      </c>
      <c r="S232" s="41" t="s">
        <v>339</v>
      </c>
      <c r="T232" s="41" t="s">
        <v>697</v>
      </c>
      <c r="U232" s="44">
        <f t="shared" si="10"/>
        <v>1</v>
      </c>
      <c r="V232" s="44">
        <f>IF(U232=1,SUM($U$2:U232),"")</f>
        <v>231</v>
      </c>
    </row>
    <row r="233" spans="2:22">
      <c r="B233" s="47">
        <f>IFERROR(IF(MATCH(229,$V$2:$V$362,0)&gt;0,229,""),"")</f>
        <v>229</v>
      </c>
      <c r="C233" s="5" t="str">
        <f>IFERROR(INDEX($L$2:$Q$362,MATCH(229,$V$2:$V$362,0),2),"")</f>
        <v>Магазин 5.56 NATO STANAG</v>
      </c>
      <c r="D233" s="49" t="str">
        <f>IFERROR(INDEX($L$2:$Q$362,MATCH(229,$V$2:$V$362,0),3),"")</f>
        <v>Ветеран</v>
      </c>
      <c r="E233" s="47" t="str">
        <f>IFERROR(INDEX($L$2:$Q$362,MATCH(229,$V$2:$V$362,0),4),"")</f>
        <v>Магазины</v>
      </c>
      <c r="I233" s="46"/>
      <c r="L233" s="41">
        <f>'Бартер обвесы'!A325</f>
        <v>47</v>
      </c>
      <c r="M233" s="41" t="str">
        <f>'Бартер обвесы'!C325</f>
        <v>Магазин EMAG</v>
      </c>
      <c r="N233" s="41" t="str">
        <f>'Бартер обвесы'!D325</f>
        <v>Ветеран</v>
      </c>
      <c r="O233" s="41" t="str">
        <f>'Бартер обвесы'!E325</f>
        <v>Магазины</v>
      </c>
      <c r="P233" s="41" t="str">
        <f t="shared" si="11"/>
        <v>Обвесы</v>
      </c>
      <c r="Q233" s="42">
        <f>IF(ISNUMBER('Бартер обвесы'!G330), 'Бартер обвесы'!G330, "")</f>
        <v>56500</v>
      </c>
      <c r="R233" s="43">
        <v>1</v>
      </c>
      <c r="S233" s="41" t="s">
        <v>338</v>
      </c>
      <c r="T233" s="41" t="s">
        <v>698</v>
      </c>
      <c r="U233" s="44">
        <f t="shared" si="10"/>
        <v>1</v>
      </c>
      <c r="V233" s="44">
        <f>IF(U233=1,SUM($U$2:U233),"")</f>
        <v>232</v>
      </c>
    </row>
    <row r="234" spans="2:22">
      <c r="B234" s="47">
        <f>IFERROR(IF(MATCH(230,$V$2:$V$362,0)&gt;0,230,""),"")</f>
        <v>230</v>
      </c>
      <c r="C234" s="5" t="str">
        <f>IFERROR(INDEX($L$2:$Q$362,MATCH(230,$V$2:$V$362,0),2),"")</f>
        <v>Магазин 5.56 Pufgun, черный</v>
      </c>
      <c r="D234" s="49" t="str">
        <f>IFERROR(INDEX($L$2:$Q$362,MATCH(230,$V$2:$V$362,0),3),"")</f>
        <v>Ветеран</v>
      </c>
      <c r="E234" s="47" t="str">
        <f>IFERROR(INDEX($L$2:$Q$362,MATCH(230,$V$2:$V$362,0),4),"")</f>
        <v>Магазины</v>
      </c>
      <c r="I234" s="46"/>
      <c r="L234" s="41">
        <f>'Бартер обвесы'!A332</f>
        <v>48</v>
      </c>
      <c r="M234" s="41" t="str">
        <f>'Бартер обвесы'!C332</f>
        <v>Прицел оптический Trijicon AccuPoint</v>
      </c>
      <c r="N234" s="41" t="str">
        <f>'Бартер обвесы'!D332</f>
        <v>Ветеран</v>
      </c>
      <c r="O234" s="41" t="str">
        <f>'Бартер обвесы'!E332</f>
        <v>Прицелы</v>
      </c>
      <c r="P234" s="41" t="str">
        <f t="shared" si="11"/>
        <v>Обвесы</v>
      </c>
      <c r="Q234" s="42">
        <f>IF(ISNUMBER('Бартер обвесы'!G337), 'Бартер обвесы'!G337, "")</f>
        <v>39300</v>
      </c>
      <c r="R234" s="43">
        <v>1</v>
      </c>
      <c r="S234" s="41"/>
      <c r="T234" s="41" t="s">
        <v>699</v>
      </c>
      <c r="U234" s="44">
        <f t="shared" si="10"/>
        <v>1</v>
      </c>
      <c r="V234" s="44">
        <f>IF(U234=1,SUM($U$2:U234),"")</f>
        <v>233</v>
      </c>
    </row>
    <row r="235" spans="2:22">
      <c r="B235" s="47">
        <f>IFERROR(IF(MATCH(231,$V$2:$V$362,0)&gt;0,231,""),"")</f>
        <v>231</v>
      </c>
      <c r="C235" s="5" t="str">
        <f>IFERROR(INDEX($L$2:$Q$362,MATCH(231,$V$2:$V$362,0),2),"")</f>
        <v>Магазин 7.62 пластиковый</v>
      </c>
      <c r="D235" s="49" t="str">
        <f>IFERROR(INDEX($L$2:$Q$362,MATCH(231,$V$2:$V$362,0),3),"")</f>
        <v>Ветеран</v>
      </c>
      <c r="E235" s="47" t="str">
        <f>IFERROR(INDEX($L$2:$Q$362,MATCH(231,$V$2:$V$362,0),4),"")</f>
        <v>Магазины</v>
      </c>
      <c r="I235" s="46"/>
      <c r="L235" s="41">
        <f>'Бартер обвесы'!A339</f>
        <v>49</v>
      </c>
      <c r="M235" s="41" t="str">
        <f>'Бартер обвесы'!C339</f>
        <v>ПБС-1</v>
      </c>
      <c r="N235" s="41" t="str">
        <f>'Бартер обвесы'!D339</f>
        <v>Сталкер</v>
      </c>
      <c r="O235" s="41" t="str">
        <f>'Бартер обвесы'!E339</f>
        <v>Надульники и глушители</v>
      </c>
      <c r="P235" s="41" t="str">
        <f t="shared" si="11"/>
        <v>Обвесы</v>
      </c>
      <c r="Q235" s="42">
        <f>IF(ISNUMBER('Бартер обвесы'!G344), 'Бартер обвесы'!G344, "")</f>
        <v>36700</v>
      </c>
      <c r="R235" s="43">
        <v>1</v>
      </c>
      <c r="S235" s="41"/>
      <c r="T235" s="41" t="s">
        <v>700</v>
      </c>
      <c r="U235" s="44">
        <f t="shared" si="10"/>
        <v>1</v>
      </c>
      <c r="V235" s="44">
        <f>IF(U235=1,SUM($U$2:U235),"")</f>
        <v>234</v>
      </c>
    </row>
    <row r="236" spans="2:22">
      <c r="B236" s="47">
        <f>IFERROR(IF(MATCH(232,$V$2:$V$362,0)&gt;0,232,""),"")</f>
        <v>232</v>
      </c>
      <c r="C236" s="5" t="str">
        <f>IFERROR(INDEX($L$2:$Q$362,MATCH(232,$V$2:$V$362,0),2),"")</f>
        <v>Магазин EMAG</v>
      </c>
      <c r="D236" s="49" t="str">
        <f>IFERROR(INDEX($L$2:$Q$362,MATCH(232,$V$2:$V$362,0),3),"")</f>
        <v>Ветеран</v>
      </c>
      <c r="E236" s="47" t="str">
        <f>IFERROR(INDEX($L$2:$Q$362,MATCH(232,$V$2:$V$362,0),4),"")</f>
        <v>Магазины</v>
      </c>
      <c r="I236" s="46"/>
      <c r="L236" s="41">
        <f>'Бартер обвесы'!A346</f>
        <v>50</v>
      </c>
      <c r="M236" s="41" t="str">
        <f>'Бартер обвесы'!C346</f>
        <v>ДТК «Косой»</v>
      </c>
      <c r="N236" s="41" t="str">
        <f>'Бартер обвесы'!D346</f>
        <v>Сталкер</v>
      </c>
      <c r="O236" s="41" t="str">
        <f>'Бартер обвесы'!E346</f>
        <v>Надульники и глушители</v>
      </c>
      <c r="P236" s="41" t="str">
        <f t="shared" si="11"/>
        <v>Обвесы</v>
      </c>
      <c r="Q236" s="42">
        <f>IF(ISNUMBER('Бартер обвесы'!G351), 'Бартер обвесы'!G351, "")</f>
        <v>28400</v>
      </c>
      <c r="R236" s="43">
        <v>1</v>
      </c>
      <c r="S236" s="41" t="s">
        <v>342</v>
      </c>
      <c r="T236" s="41" t="s">
        <v>701</v>
      </c>
      <c r="U236" s="44">
        <f t="shared" si="10"/>
        <v>1</v>
      </c>
      <c r="V236" s="44">
        <f>IF(U236=1,SUM($U$2:U236),"")</f>
        <v>235</v>
      </c>
    </row>
    <row r="237" spans="2:22">
      <c r="B237" s="47">
        <f>IFERROR(IF(MATCH(233,$V$2:$V$362,0)&gt;0,233,""),"")</f>
        <v>233</v>
      </c>
      <c r="C237" s="5" t="str">
        <f>IFERROR(INDEX($L$2:$Q$362,MATCH(233,$V$2:$V$362,0),2),"")</f>
        <v>Прицел оптический Trijicon AccuPoint</v>
      </c>
      <c r="D237" s="49" t="str">
        <f>IFERROR(INDEX($L$2:$Q$362,MATCH(233,$V$2:$V$362,0),3),"")</f>
        <v>Ветеран</v>
      </c>
      <c r="E237" s="47" t="str">
        <f>IFERROR(INDEX($L$2:$Q$362,MATCH(233,$V$2:$V$362,0),4),"")</f>
        <v>Прицелы</v>
      </c>
      <c r="I237" s="46"/>
      <c r="L237" s="41">
        <f>'Бартер обвесы'!A353</f>
        <v>51</v>
      </c>
      <c r="M237" s="41" t="str">
        <f>'Бартер обвесы'!C353</f>
        <v>AlienTech 5.56</v>
      </c>
      <c r="N237" s="41" t="str">
        <f>'Бартер обвесы'!D353</f>
        <v>Сталкер</v>
      </c>
      <c r="O237" s="41" t="str">
        <f>'Бартер обвесы'!E353</f>
        <v>Надульники и глушители</v>
      </c>
      <c r="P237" s="41" t="str">
        <f t="shared" si="11"/>
        <v>Обвесы</v>
      </c>
      <c r="Q237" s="42">
        <f>IF(ISNUMBER('Бартер обвесы'!G358), 'Бартер обвесы'!G358, "")</f>
        <v>28400</v>
      </c>
      <c r="R237" s="43">
        <v>1</v>
      </c>
      <c r="S237" s="41" t="s">
        <v>343</v>
      </c>
      <c r="T237" s="41" t="s">
        <v>702</v>
      </c>
      <c r="U237" s="44">
        <f t="shared" si="10"/>
        <v>1</v>
      </c>
      <c r="V237" s="44">
        <f>IF(U237=1,SUM($U$2:U237),"")</f>
        <v>236</v>
      </c>
    </row>
    <row r="238" spans="2:22">
      <c r="B238" s="47">
        <f>IFERROR(IF(MATCH(234,$V$2:$V$362,0)&gt;0,234,""),"")</f>
        <v>234</v>
      </c>
      <c r="C238" s="6" t="str">
        <f>IFERROR(INDEX($L$2:$Q$362,MATCH(234,$V$2:$V$362,0),2),"")</f>
        <v>ПБС-1</v>
      </c>
      <c r="D238" s="50" t="str">
        <f>IFERROR(INDEX($L$2:$Q$362,MATCH(234,$V$2:$V$362,0),3),"")</f>
        <v>Сталкер</v>
      </c>
      <c r="E238" s="47" t="str">
        <f>IFERROR(INDEX($L$2:$Q$362,MATCH(234,$V$2:$V$362,0),4),"")</f>
        <v>Надульники и глушители</v>
      </c>
      <c r="I238" s="46"/>
      <c r="L238" s="41">
        <f>'Бартер обвесы'!A360</f>
        <v>52</v>
      </c>
      <c r="M238" s="41" t="str">
        <f>'Бартер обвесы'!C360</f>
        <v>Custom Guns Doncaster</v>
      </c>
      <c r="N238" s="41" t="str">
        <f>'Бартер обвесы'!D360</f>
        <v>Сталкер</v>
      </c>
      <c r="O238" s="41" t="str">
        <f>'Бартер обвесы'!E360</f>
        <v>Надульники и глушители</v>
      </c>
      <c r="P238" s="41" t="str">
        <f t="shared" si="11"/>
        <v>Обвесы</v>
      </c>
      <c r="Q238" s="42">
        <f>IF(ISNUMBER('Бартер обвесы'!G365), 'Бартер обвесы'!G365, "")</f>
        <v>28400</v>
      </c>
      <c r="R238" s="43">
        <v>1</v>
      </c>
      <c r="S238" s="41" t="s">
        <v>344</v>
      </c>
      <c r="T238" s="41" t="s">
        <v>703</v>
      </c>
      <c r="U238" s="44">
        <f t="shared" si="10"/>
        <v>1</v>
      </c>
      <c r="V238" s="44">
        <f>IF(U238=1,SUM($U$2:U238),"")</f>
        <v>237</v>
      </c>
    </row>
    <row r="239" spans="2:22">
      <c r="B239" s="47">
        <f>IFERROR(IF(MATCH(235,$V$2:$V$362,0)&gt;0,235,""),"")</f>
        <v>235</v>
      </c>
      <c r="C239" s="6" t="str">
        <f>IFERROR(INDEX($L$2:$Q$362,MATCH(235,$V$2:$V$362,0),2),"")</f>
        <v>ДТК «Косой»</v>
      </c>
      <c r="D239" s="50" t="str">
        <f>IFERROR(INDEX($L$2:$Q$362,MATCH(235,$V$2:$V$362,0),3),"")</f>
        <v>Сталкер</v>
      </c>
      <c r="E239" s="47" t="str">
        <f>IFERROR(INDEX($L$2:$Q$362,MATCH(235,$V$2:$V$362,0),4),"")</f>
        <v>Надульники и глушители</v>
      </c>
      <c r="I239" s="46"/>
      <c r="L239" s="41">
        <f>'Бартер обвесы'!A367</f>
        <v>53</v>
      </c>
      <c r="M239" s="41" t="str">
        <f>'Бартер обвесы'!C367</f>
        <v>Hi-Point Razor</v>
      </c>
      <c r="N239" s="41" t="str">
        <f>'Бартер обвесы'!D367</f>
        <v>Сталкер</v>
      </c>
      <c r="O239" s="41" t="str">
        <f>'Бартер обвесы'!E367</f>
        <v>Надульники и глушители</v>
      </c>
      <c r="P239" s="41" t="str">
        <f t="shared" si="11"/>
        <v>Обвесы</v>
      </c>
      <c r="Q239" s="42">
        <f>IF(ISNUMBER('Бартер обвесы'!G372), 'Бартер обвесы'!G372, "")</f>
        <v>28400</v>
      </c>
      <c r="R239" s="43">
        <v>1</v>
      </c>
      <c r="S239" s="41" t="s">
        <v>345</v>
      </c>
      <c r="T239" s="41" t="s">
        <v>704</v>
      </c>
      <c r="U239" s="44">
        <f t="shared" si="10"/>
        <v>1</v>
      </c>
      <c r="V239" s="44">
        <f>IF(U239=1,SUM($U$2:U239),"")</f>
        <v>238</v>
      </c>
    </row>
    <row r="240" spans="2:22">
      <c r="B240" s="47">
        <f>IFERROR(IF(MATCH(236,$V$2:$V$362,0)&gt;0,236,""),"")</f>
        <v>236</v>
      </c>
      <c r="C240" s="6" t="str">
        <f>IFERROR(INDEX($L$2:$Q$362,MATCH(236,$V$2:$V$362,0),2),"")</f>
        <v>AlienTech 5.56</v>
      </c>
      <c r="D240" s="50" t="str">
        <f>IFERROR(INDEX($L$2:$Q$362,MATCH(236,$V$2:$V$362,0),3),"")</f>
        <v>Сталкер</v>
      </c>
      <c r="E240" s="47" t="str">
        <f>IFERROR(INDEX($L$2:$Q$362,MATCH(236,$V$2:$V$362,0),4),"")</f>
        <v>Надульники и глушители</v>
      </c>
      <c r="I240" s="46"/>
      <c r="L240" s="41">
        <f>'Бартер обвесы'!A374</f>
        <v>54</v>
      </c>
      <c r="M240" s="41" t="str">
        <f>'Бартер обвесы'!C374</f>
        <v>HK BLITZ 5.56</v>
      </c>
      <c r="N240" s="41" t="str">
        <f>'Бартер обвесы'!D374</f>
        <v>Сталкер</v>
      </c>
      <c r="O240" s="41" t="str">
        <f>'Бартер обвесы'!E374</f>
        <v>Надульники и глушители</v>
      </c>
      <c r="P240" s="41" t="str">
        <f t="shared" si="11"/>
        <v>Обвесы</v>
      </c>
      <c r="Q240" s="42">
        <f>IF(ISNUMBER('Бартер обвесы'!G379), 'Бартер обвесы'!G379, "")</f>
        <v>28400</v>
      </c>
      <c r="R240" s="43">
        <v>1</v>
      </c>
      <c r="S240" s="41" t="s">
        <v>346</v>
      </c>
      <c r="T240" s="41" t="s">
        <v>705</v>
      </c>
      <c r="U240" s="44">
        <f t="shared" si="10"/>
        <v>1</v>
      </c>
      <c r="V240" s="44">
        <f>IF(U240=1,SUM($U$2:U240),"")</f>
        <v>239</v>
      </c>
    </row>
    <row r="241" spans="2:22">
      <c r="B241" s="47">
        <f>IFERROR(IF(MATCH(237,$V$2:$V$362,0)&gt;0,237,""),"")</f>
        <v>237</v>
      </c>
      <c r="C241" s="6" t="str">
        <f>IFERROR(INDEX($L$2:$Q$362,MATCH(237,$V$2:$V$362,0),2),"")</f>
        <v>Custom Guns Doncaster</v>
      </c>
      <c r="D241" s="50" t="str">
        <f>IFERROR(INDEX($L$2:$Q$362,MATCH(237,$V$2:$V$362,0),3),"")</f>
        <v>Сталкер</v>
      </c>
      <c r="E241" s="47" t="str">
        <f>IFERROR(INDEX($L$2:$Q$362,MATCH(237,$V$2:$V$362,0),4),"")</f>
        <v>Надульники и глушители</v>
      </c>
      <c r="I241" s="46"/>
      <c r="L241" s="41">
        <f>'Бартер обвесы'!A381</f>
        <v>55</v>
      </c>
      <c r="M241" s="41" t="str">
        <f>'Бартер обвесы'!C381</f>
        <v>Keeno Arms SHREWD 7.62x51</v>
      </c>
      <c r="N241" s="41" t="str">
        <f>'Бартер обвесы'!D381</f>
        <v>Сталкер</v>
      </c>
      <c r="O241" s="41" t="str">
        <f>'Бартер обвесы'!E381</f>
        <v>Надульники и глушители</v>
      </c>
      <c r="P241" s="41" t="str">
        <f t="shared" si="11"/>
        <v>Обвесы</v>
      </c>
      <c r="Q241" s="42">
        <f>IF(ISNUMBER('Бартер обвесы'!G386), 'Бартер обвесы'!G386, "")</f>
        <v>28400</v>
      </c>
      <c r="R241" s="43">
        <v>1</v>
      </c>
      <c r="S241" s="41" t="s">
        <v>347</v>
      </c>
      <c r="T241" s="41" t="s">
        <v>706</v>
      </c>
      <c r="U241" s="44">
        <f t="shared" si="10"/>
        <v>1</v>
      </c>
      <c r="V241" s="44">
        <f>IF(U241=1,SUM($U$2:U241),"")</f>
        <v>240</v>
      </c>
    </row>
    <row r="242" spans="2:22">
      <c r="B242" s="47">
        <f>IFERROR(IF(MATCH(238,$V$2:$V$362,0)&gt;0,238,""),"")</f>
        <v>238</v>
      </c>
      <c r="C242" s="6" t="str">
        <f>IFERROR(INDEX($L$2:$Q$362,MATCH(238,$V$2:$V$362,0),2),"")</f>
        <v>Hi-Point Razor</v>
      </c>
      <c r="D242" s="50" t="str">
        <f>IFERROR(INDEX($L$2:$Q$362,MATCH(238,$V$2:$V$362,0),3),"")</f>
        <v>Сталкер</v>
      </c>
      <c r="E242" s="47" t="str">
        <f>IFERROR(INDEX($L$2:$Q$362,MATCH(238,$V$2:$V$362,0),4),"")</f>
        <v>Надульники и глушители</v>
      </c>
      <c r="I242" s="46"/>
      <c r="L242" s="41">
        <f>'Бартер обвесы'!A388</f>
        <v>56</v>
      </c>
      <c r="M242" s="41" t="str">
        <f>'Бартер обвесы'!C388</f>
        <v>PWS CQB 74</v>
      </c>
      <c r="N242" s="41" t="str">
        <f>'Бартер обвесы'!D388</f>
        <v>Сталкер</v>
      </c>
      <c r="O242" s="41" t="str">
        <f>'Бартер обвесы'!E388</f>
        <v>Надульники и глушители</v>
      </c>
      <c r="P242" s="41" t="str">
        <f t="shared" si="11"/>
        <v>Обвесы</v>
      </c>
      <c r="Q242" s="42">
        <f>IF(ISNUMBER('Бартер обвесы'!G393), 'Бартер обвесы'!G393, "")</f>
        <v>28400</v>
      </c>
      <c r="R242" s="43">
        <v>1</v>
      </c>
      <c r="S242" s="41" t="s">
        <v>348</v>
      </c>
      <c r="T242" s="41" t="s">
        <v>707</v>
      </c>
      <c r="U242" s="44">
        <f t="shared" si="10"/>
        <v>1</v>
      </c>
      <c r="V242" s="44">
        <f>IF(U242=1,SUM($U$2:U242),"")</f>
        <v>241</v>
      </c>
    </row>
    <row r="243" spans="2:22">
      <c r="B243" s="47">
        <f>IFERROR(IF(MATCH(239,$V$2:$V$362,0)&gt;0,239,""),"")</f>
        <v>239</v>
      </c>
      <c r="C243" s="6" t="str">
        <f>IFERROR(INDEX($L$2:$Q$362,MATCH(239,$V$2:$V$362,0),2),"")</f>
        <v>HK BLITZ 5.56</v>
      </c>
      <c r="D243" s="50" t="str">
        <f>IFERROR(INDEX($L$2:$Q$362,MATCH(239,$V$2:$V$362,0),3),"")</f>
        <v>Сталкер</v>
      </c>
      <c r="E243" s="47" t="str">
        <f>IFERROR(INDEX($L$2:$Q$362,MATCH(239,$V$2:$V$362,0),4),"")</f>
        <v>Надульники и глушители</v>
      </c>
      <c r="I243" s="46"/>
      <c r="L243" s="41">
        <f>'Бартер обвесы'!A395</f>
        <v>57</v>
      </c>
      <c r="M243" s="41" t="str">
        <f>'Бартер обвесы'!C395</f>
        <v>SPVV 7.62</v>
      </c>
      <c r="N243" s="41" t="str">
        <f>'Бартер обвесы'!D395</f>
        <v>Сталкер</v>
      </c>
      <c r="O243" s="41" t="str">
        <f>'Бартер обвесы'!E395</f>
        <v>Надульники и глушители</v>
      </c>
      <c r="P243" s="41" t="str">
        <f t="shared" si="11"/>
        <v>Обвесы</v>
      </c>
      <c r="Q243" s="42">
        <f>IF(ISNUMBER('Бартер обвесы'!G400), 'Бартер обвесы'!G400, "")</f>
        <v>28400</v>
      </c>
      <c r="R243" s="43">
        <v>1</v>
      </c>
      <c r="S243" s="41" t="s">
        <v>349</v>
      </c>
      <c r="T243" s="41" t="s">
        <v>708</v>
      </c>
      <c r="U243" s="44">
        <f t="shared" si="10"/>
        <v>1</v>
      </c>
      <c r="V243" s="44">
        <f>IF(U243=1,SUM($U$2:U243),"")</f>
        <v>242</v>
      </c>
    </row>
    <row r="244" spans="2:22">
      <c r="B244" s="47">
        <f>IFERROR(IF(MATCH(240,$V$2:$V$362,0)&gt;0,240,""),"")</f>
        <v>240</v>
      </c>
      <c r="C244" s="6" t="str">
        <f>IFERROR(INDEX($L$2:$Q$362,MATCH(240,$V$2:$V$362,0),2),"")</f>
        <v>Keeno Arms SHREWD 7.62x51</v>
      </c>
      <c r="D244" s="50" t="str">
        <f>IFERROR(INDEX($L$2:$Q$362,MATCH(240,$V$2:$V$362,0),3),"")</f>
        <v>Сталкер</v>
      </c>
      <c r="E244" s="47" t="str">
        <f>IFERROR(INDEX($L$2:$Q$362,MATCH(240,$V$2:$V$362,0),4),"")</f>
        <v>Надульники и глушители</v>
      </c>
      <c r="I244" s="46"/>
      <c r="L244" s="41">
        <f>'Бартер обвесы'!A402</f>
        <v>58</v>
      </c>
      <c r="M244" s="41" t="str">
        <f>'Бартер обвесы'!C402</f>
        <v>SRVV MBR Jet</v>
      </c>
      <c r="N244" s="41" t="str">
        <f>'Бартер обвесы'!D402</f>
        <v>Сталкер</v>
      </c>
      <c r="O244" s="41" t="str">
        <f>'Бартер обвесы'!E402</f>
        <v>Надульники и глушители</v>
      </c>
      <c r="P244" s="41" t="str">
        <f t="shared" si="11"/>
        <v>Обвесы</v>
      </c>
      <c r="Q244" s="42">
        <f>IF(ISNUMBER('Бартер обвесы'!G407), 'Бартер обвесы'!G407, "")</f>
        <v>28400</v>
      </c>
      <c r="R244" s="43">
        <v>1</v>
      </c>
      <c r="S244" s="41" t="s">
        <v>350</v>
      </c>
      <c r="T244" s="41" t="s">
        <v>709</v>
      </c>
      <c r="U244" s="44">
        <f t="shared" si="10"/>
        <v>1</v>
      </c>
      <c r="V244" s="44">
        <f>IF(U244=1,SUM($U$2:U244),"")</f>
        <v>243</v>
      </c>
    </row>
    <row r="245" spans="2:22">
      <c r="B245" s="47">
        <f>IFERROR(IF(MATCH(241,$V$2:$V$362,0)&gt;0,241,""),"")</f>
        <v>241</v>
      </c>
      <c r="C245" s="6" t="str">
        <f>IFERROR(INDEX($L$2:$Q$362,MATCH(241,$V$2:$V$362,0),2),"")</f>
        <v>PWS CQB 74</v>
      </c>
      <c r="D245" s="50" t="str">
        <f>IFERROR(INDEX($L$2:$Q$362,MATCH(241,$V$2:$V$362,0),3),"")</f>
        <v>Сталкер</v>
      </c>
      <c r="E245" s="47" t="str">
        <f>IFERROR(INDEX($L$2:$Q$362,MATCH(241,$V$2:$V$362,0),4),"")</f>
        <v>Надульники и глушители</v>
      </c>
      <c r="I245" s="46"/>
      <c r="L245" s="41">
        <f>'Бартер обвесы'!A409</f>
        <v>59</v>
      </c>
      <c r="M245" s="41" t="str">
        <f>'Бартер обвесы'!C409</f>
        <v>SureFire Pro Comp 7.62x51</v>
      </c>
      <c r="N245" s="41" t="str">
        <f>'Бартер обвесы'!D409</f>
        <v>Сталкер</v>
      </c>
      <c r="O245" s="41" t="str">
        <f>'Бартер обвесы'!E409</f>
        <v>Надульники и глушители</v>
      </c>
      <c r="P245" s="41" t="str">
        <f t="shared" si="11"/>
        <v>Обвесы</v>
      </c>
      <c r="Q245" s="42">
        <f>IF(ISNUMBER('Бартер обвесы'!G414), 'Бартер обвесы'!G414, "")</f>
        <v>28400</v>
      </c>
      <c r="R245" s="43">
        <v>1</v>
      </c>
      <c r="S245" s="41" t="s">
        <v>351</v>
      </c>
      <c r="T245" s="41" t="s">
        <v>710</v>
      </c>
      <c r="U245" s="44">
        <f t="shared" si="10"/>
        <v>1</v>
      </c>
      <c r="V245" s="44">
        <f>IF(U245=1,SUM($U$2:U245),"")</f>
        <v>244</v>
      </c>
    </row>
    <row r="246" spans="2:22">
      <c r="B246" s="47">
        <f>IFERROR(IF(MATCH(242,$V$2:$V$362,0)&gt;0,242,""),"")</f>
        <v>242</v>
      </c>
      <c r="C246" s="6" t="str">
        <f>IFERROR(INDEX($L$2:$Q$362,MATCH(242,$V$2:$V$362,0),2),"")</f>
        <v>SPVV 7.62</v>
      </c>
      <c r="D246" s="50" t="str">
        <f>IFERROR(INDEX($L$2:$Q$362,MATCH(242,$V$2:$V$362,0),3),"")</f>
        <v>Сталкер</v>
      </c>
      <c r="E246" s="47" t="str">
        <f>IFERROR(INDEX($L$2:$Q$362,MATCH(242,$V$2:$V$362,0),4),"")</f>
        <v>Надульники и глушители</v>
      </c>
      <c r="I246" s="46"/>
      <c r="L246" s="41">
        <f>'Бартер обвесы'!A416</f>
        <v>60</v>
      </c>
      <c r="M246" s="41" t="str">
        <f>'Бартер обвесы'!C416</f>
        <v>Глушитель SCAR-SD</v>
      </c>
      <c r="N246" s="41" t="str">
        <f>'Бартер обвесы'!D416</f>
        <v>Сталкер</v>
      </c>
      <c r="O246" s="41" t="str">
        <f>'Бартер обвесы'!E416</f>
        <v>Надульники и глушители</v>
      </c>
      <c r="P246" s="41" t="str">
        <f t="shared" si="11"/>
        <v>Обвесы</v>
      </c>
      <c r="Q246" s="42">
        <f>IF(ISNUMBER('Бартер обвесы'!G421), 'Бартер обвесы'!G421, "")</f>
        <v>22200</v>
      </c>
      <c r="R246" s="43">
        <v>1</v>
      </c>
      <c r="S246" s="41" t="s">
        <v>347</v>
      </c>
      <c r="T246" s="41" t="s">
        <v>711</v>
      </c>
      <c r="U246" s="44">
        <f t="shared" si="10"/>
        <v>1</v>
      </c>
      <c r="V246" s="44">
        <f>IF(U246=1,SUM($U$2:U246),"")</f>
        <v>245</v>
      </c>
    </row>
    <row r="247" spans="2:22">
      <c r="B247" s="47">
        <f>IFERROR(IF(MATCH(243,$V$2:$V$362,0)&gt;0,243,""),"")</f>
        <v>243</v>
      </c>
      <c r="C247" s="6" t="str">
        <f>IFERROR(INDEX($L$2:$Q$362,MATCH(243,$V$2:$V$362,0),2),"")</f>
        <v>SRVV MBR Jet</v>
      </c>
      <c r="D247" s="50" t="str">
        <f>IFERROR(INDEX($L$2:$Q$362,MATCH(243,$V$2:$V$362,0),3),"")</f>
        <v>Сталкер</v>
      </c>
      <c r="E247" s="47" t="str">
        <f>IFERROR(INDEX($L$2:$Q$362,MATCH(243,$V$2:$V$362,0),4),"")</f>
        <v>Надульники и глушители</v>
      </c>
      <c r="I247" s="46"/>
      <c r="L247" s="41">
        <f>'Бартер обвесы'!A423</f>
        <v>61</v>
      </c>
      <c r="M247" s="41" t="str">
        <f>'Бартер обвесы'!C423</f>
        <v>Глушитель SUPRA K-8 С.К.О.С.</v>
      </c>
      <c r="N247" s="41" t="str">
        <f>'Бартер обвесы'!D423</f>
        <v>Сталкер</v>
      </c>
      <c r="O247" s="41" t="str">
        <f>'Бартер обвесы'!E423</f>
        <v>Надульники и глушители</v>
      </c>
      <c r="P247" s="41" t="str">
        <f t="shared" si="11"/>
        <v>Обвесы</v>
      </c>
      <c r="Q247" s="42">
        <f>IF(ISNUMBER('Бартер обвесы'!G428), 'Бартер обвесы'!G428, "")</f>
        <v>22200</v>
      </c>
      <c r="R247" s="43">
        <v>1</v>
      </c>
      <c r="S247" s="41" t="s">
        <v>344</v>
      </c>
      <c r="T247" s="41" t="s">
        <v>712</v>
      </c>
      <c r="U247" s="44">
        <f t="shared" si="10"/>
        <v>1</v>
      </c>
      <c r="V247" s="44">
        <f>IF(U247=1,SUM($U$2:U247),"")</f>
        <v>246</v>
      </c>
    </row>
    <row r="248" spans="2:22">
      <c r="B248" s="47">
        <f>IFERROR(IF(MATCH(244,$V$2:$V$362,0)&gt;0,244,""),"")</f>
        <v>244</v>
      </c>
      <c r="C248" s="6" t="str">
        <f>IFERROR(INDEX($L$2:$Q$362,MATCH(244,$V$2:$V$362,0),2),"")</f>
        <v>SureFire Pro Comp 7.62x51</v>
      </c>
      <c r="D248" s="50" t="str">
        <f>IFERROR(INDEX($L$2:$Q$362,MATCH(244,$V$2:$V$362,0),3),"")</f>
        <v>Сталкер</v>
      </c>
      <c r="E248" s="47" t="str">
        <f>IFERROR(INDEX($L$2:$Q$362,MATCH(244,$V$2:$V$362,0),4),"")</f>
        <v>Надульники и глушители</v>
      </c>
      <c r="I248" s="46"/>
      <c r="L248" s="41">
        <f>'Бартер обвесы'!A430</f>
        <v>62</v>
      </c>
      <c r="M248" s="41" t="str">
        <f>'Бартер обвесы'!C430</f>
        <v>Глушитель SureFire SOCOM556-RC2</v>
      </c>
      <c r="N248" s="41" t="str">
        <f>'Бартер обвесы'!D430</f>
        <v>Сталкер</v>
      </c>
      <c r="O248" s="41" t="str">
        <f>'Бартер обвесы'!E430</f>
        <v>Надульники и глушители</v>
      </c>
      <c r="P248" s="41" t="str">
        <f t="shared" si="11"/>
        <v>Обвесы</v>
      </c>
      <c r="Q248" s="42">
        <f>IF(ISNUMBER('Бартер обвесы'!G435), 'Бартер обвесы'!G435, "")</f>
        <v>22200</v>
      </c>
      <c r="R248" s="43">
        <v>1</v>
      </c>
      <c r="S248" s="41" t="s">
        <v>346</v>
      </c>
      <c r="T248" s="41" t="s">
        <v>713</v>
      </c>
      <c r="U248" s="44">
        <f t="shared" si="10"/>
        <v>1</v>
      </c>
      <c r="V248" s="44">
        <f>IF(U248=1,SUM($U$2:U248),"")</f>
        <v>247</v>
      </c>
    </row>
    <row r="249" spans="2:22">
      <c r="B249" s="47">
        <f>IFERROR(IF(MATCH(245,$V$2:$V$362,0)&gt;0,245,""),"")</f>
        <v>245</v>
      </c>
      <c r="C249" s="6" t="str">
        <f>IFERROR(INDEX($L$2:$Q$362,MATCH(245,$V$2:$V$362,0),2),"")</f>
        <v>Глушитель SCAR-SD</v>
      </c>
      <c r="D249" s="50" t="str">
        <f>IFERROR(INDEX($L$2:$Q$362,MATCH(245,$V$2:$V$362,0),3),"")</f>
        <v>Сталкер</v>
      </c>
      <c r="E249" s="47" t="str">
        <f>IFERROR(INDEX($L$2:$Q$362,MATCH(245,$V$2:$V$362,0),4),"")</f>
        <v>Надульники и глушители</v>
      </c>
      <c r="I249" s="46"/>
      <c r="L249" s="41">
        <f>'Бартер обвесы'!A437</f>
        <v>63</v>
      </c>
      <c r="M249" s="41" t="str">
        <f>'Бартер обвесы'!C437</f>
        <v>ПБС-4</v>
      </c>
      <c r="N249" s="41" t="str">
        <f>'Бартер обвесы'!D437</f>
        <v>Сталкер</v>
      </c>
      <c r="O249" s="41" t="str">
        <f>'Бартер обвесы'!E437</f>
        <v>Надульники и глушители</v>
      </c>
      <c r="P249" s="41" t="str">
        <f t="shared" si="11"/>
        <v>Обвесы</v>
      </c>
      <c r="Q249" s="42">
        <f>IF(ISNUMBER('Бартер обвесы'!G442), 'Бартер обвесы'!G442, "")</f>
        <v>22200</v>
      </c>
      <c r="R249" s="43">
        <v>1</v>
      </c>
      <c r="S249" s="41" t="s">
        <v>350</v>
      </c>
      <c r="T249" s="41" t="s">
        <v>714</v>
      </c>
      <c r="U249" s="44">
        <f t="shared" si="10"/>
        <v>1</v>
      </c>
      <c r="V249" s="44">
        <f>IF(U249=1,SUM($U$2:U249),"")</f>
        <v>248</v>
      </c>
    </row>
    <row r="250" spans="2:22">
      <c r="B250" s="47">
        <f>IFERROR(IF(MATCH(246,$V$2:$V$362,0)&gt;0,246,""),"")</f>
        <v>246</v>
      </c>
      <c r="C250" s="6" t="str">
        <f>IFERROR(INDEX($L$2:$Q$362,MATCH(246,$V$2:$V$362,0),2),"")</f>
        <v>Глушитель SUPRA K-8 С.К.О.С.</v>
      </c>
      <c r="D250" s="50" t="str">
        <f>IFERROR(INDEX($L$2:$Q$362,MATCH(246,$V$2:$V$362,0),3),"")</f>
        <v>Сталкер</v>
      </c>
      <c r="E250" s="47" t="str">
        <f>IFERROR(INDEX($L$2:$Q$362,MATCH(246,$V$2:$V$362,0),4),"")</f>
        <v>Надульники и глушители</v>
      </c>
      <c r="I250" s="46"/>
      <c r="L250" s="41">
        <f>'Бартер обвесы'!A444</f>
        <v>64</v>
      </c>
      <c r="M250" s="41" t="str">
        <f>'Бартер обвесы'!C444</f>
        <v>Вертикальная рукоятка Tapco</v>
      </c>
      <c r="N250" s="41" t="str">
        <f>'Бартер обвесы'!D444</f>
        <v>Сталкер</v>
      </c>
      <c r="O250" s="41" t="str">
        <f>'Бартер обвесы'!E444</f>
        <v>Рукоятки</v>
      </c>
      <c r="P250" s="41" t="str">
        <f t="shared" si="11"/>
        <v>Обвесы</v>
      </c>
      <c r="Q250" s="42">
        <f>IF(ISNUMBER('Бартер обвесы'!G449), 'Бартер обвесы'!G449, "")</f>
        <v>21800</v>
      </c>
      <c r="R250" s="43">
        <v>1</v>
      </c>
      <c r="S250" s="41" t="s">
        <v>352</v>
      </c>
      <c r="T250" s="41" t="s">
        <v>715</v>
      </c>
      <c r="U250" s="44">
        <f t="shared" si="10"/>
        <v>1</v>
      </c>
      <c r="V250" s="44">
        <f>IF(U250=1,SUM($U$2:U250),"")</f>
        <v>249</v>
      </c>
    </row>
    <row r="251" spans="2:22">
      <c r="B251" s="47">
        <f>IFERROR(IF(MATCH(247,$V$2:$V$362,0)&gt;0,247,""),"")</f>
        <v>247</v>
      </c>
      <c r="C251" s="6" t="str">
        <f>IFERROR(INDEX($L$2:$Q$362,MATCH(247,$V$2:$V$362,0),2),"")</f>
        <v>Глушитель SureFire SOCOM556-RC2</v>
      </c>
      <c r="D251" s="50" t="str">
        <f>IFERROR(INDEX($L$2:$Q$362,MATCH(247,$V$2:$V$362,0),3),"")</f>
        <v>Сталкер</v>
      </c>
      <c r="E251" s="47" t="str">
        <f>IFERROR(INDEX($L$2:$Q$362,MATCH(247,$V$2:$V$362,0),4),"")</f>
        <v>Надульники и глушители</v>
      </c>
      <c r="I251" s="46"/>
      <c r="L251" s="41">
        <f>'Бартер обвесы'!A451</f>
        <v>65</v>
      </c>
      <c r="M251" s="41" t="str">
        <f>'Бартер обвесы'!C451</f>
        <v>РК-0</v>
      </c>
      <c r="N251" s="41" t="str">
        <f>'Бартер обвесы'!D451</f>
        <v>Сталкер</v>
      </c>
      <c r="O251" s="41" t="str">
        <f>'Бартер обвесы'!E451</f>
        <v>Рукоятки</v>
      </c>
      <c r="P251" s="41" t="str">
        <f t="shared" ref="P251:P282" si="12">"Обвесы"</f>
        <v>Обвесы</v>
      </c>
      <c r="Q251" s="42">
        <f>IF(ISNUMBER('Бартер обвесы'!G456), 'Бартер обвесы'!G456, "")</f>
        <v>21800</v>
      </c>
      <c r="R251" s="43">
        <v>1</v>
      </c>
      <c r="S251" s="41" t="s">
        <v>353</v>
      </c>
      <c r="T251" s="41" t="s">
        <v>716</v>
      </c>
      <c r="U251" s="44">
        <f t="shared" si="10"/>
        <v>1</v>
      </c>
      <c r="V251" s="44">
        <f>IF(U251=1,SUM($U$2:U251),"")</f>
        <v>250</v>
      </c>
    </row>
    <row r="252" spans="2:22">
      <c r="B252" s="47">
        <f>IFERROR(IF(MATCH(248,$V$2:$V$362,0)&gt;0,248,""),"")</f>
        <v>248</v>
      </c>
      <c r="C252" s="6" t="str">
        <f>IFERROR(INDEX($L$2:$Q$362,MATCH(248,$V$2:$V$362,0),2),"")</f>
        <v>ПБС-4</v>
      </c>
      <c r="D252" s="50" t="str">
        <f>IFERROR(INDEX($L$2:$Q$362,MATCH(248,$V$2:$V$362,0),3),"")</f>
        <v>Сталкер</v>
      </c>
      <c r="E252" s="47" t="str">
        <f>IFERROR(INDEX($L$2:$Q$362,MATCH(248,$V$2:$V$362,0),4),"")</f>
        <v>Надульники и глушители</v>
      </c>
      <c r="I252" s="46"/>
      <c r="L252" s="41">
        <f>'Бартер обвесы'!A458</f>
        <v>66</v>
      </c>
      <c r="M252" s="41" t="str">
        <f>'Бартер обвесы'!C458</f>
        <v>FX PTKB FAB Defense</v>
      </c>
      <c r="N252" s="41" t="str">
        <f>'Бартер обвесы'!D458</f>
        <v>Сталкер</v>
      </c>
      <c r="O252" s="41" t="str">
        <f>'Бартер обвесы'!E458</f>
        <v>Рукоятки</v>
      </c>
      <c r="P252" s="41" t="str">
        <f t="shared" si="12"/>
        <v>Обвесы</v>
      </c>
      <c r="Q252" s="42">
        <f>IF(ISNUMBER('Бартер обвесы'!G463), 'Бартер обвесы'!G463, "")</f>
        <v>21800</v>
      </c>
      <c r="R252" s="43">
        <v>1</v>
      </c>
      <c r="S252" s="41" t="s">
        <v>354</v>
      </c>
      <c r="T252" s="41" t="s">
        <v>717</v>
      </c>
      <c r="U252" s="44">
        <f t="shared" si="10"/>
        <v>1</v>
      </c>
      <c r="V252" s="44">
        <f>IF(U252=1,SUM($U$2:U252),"")</f>
        <v>251</v>
      </c>
    </row>
    <row r="253" spans="2:22">
      <c r="B253" s="47">
        <f>IFERROR(IF(MATCH(249,$V$2:$V$362,0)&gt;0,249,""),"")</f>
        <v>249</v>
      </c>
      <c r="C253" s="6" t="str">
        <f>IFERROR(INDEX($L$2:$Q$362,MATCH(249,$V$2:$V$362,0),2),"")</f>
        <v>Вертикальная рукоятка Tapco</v>
      </c>
      <c r="D253" s="50" t="str">
        <f>IFERROR(INDEX($L$2:$Q$362,MATCH(249,$V$2:$V$362,0),3),"")</f>
        <v>Сталкер</v>
      </c>
      <c r="E253" s="47" t="str">
        <f>IFERROR(INDEX($L$2:$Q$362,MATCH(249,$V$2:$V$362,0),4),"")</f>
        <v>Рукоятки</v>
      </c>
      <c r="I253" s="46"/>
      <c r="L253" s="41">
        <f>'Бартер обвесы'!A465</f>
        <v>67</v>
      </c>
      <c r="M253" s="41" t="str">
        <f>'Бартер обвесы'!C465</f>
        <v>HQ ISSUE Low-Profile Laser Sight (красный лазер)</v>
      </c>
      <c r="N253" s="41" t="str">
        <f>'Бартер обвесы'!D465</f>
        <v>Сталкер</v>
      </c>
      <c r="O253" s="41" t="str">
        <f>'Бартер обвесы'!E465</f>
        <v>Другое</v>
      </c>
      <c r="P253" s="41" t="str">
        <f t="shared" si="12"/>
        <v>Обвесы</v>
      </c>
      <c r="Q253" s="42">
        <f>IF(ISNUMBER('Бартер обвесы'!G470), 'Бартер обвесы'!G470, "")</f>
        <v>22200</v>
      </c>
      <c r="R253" s="43">
        <v>1</v>
      </c>
      <c r="S253" s="41" t="s">
        <v>355</v>
      </c>
      <c r="T253" s="41" t="s">
        <v>718</v>
      </c>
      <c r="U253" s="44">
        <f t="shared" si="10"/>
        <v>1</v>
      </c>
      <c r="V253" s="44">
        <f>IF(U253=1,SUM($U$2:U253),"")</f>
        <v>252</v>
      </c>
    </row>
    <row r="254" spans="2:22">
      <c r="B254" s="47">
        <f>IFERROR(IF(MATCH(250,$V$2:$V$362,0)&gt;0,250,""),"")</f>
        <v>250</v>
      </c>
      <c r="C254" s="6" t="str">
        <f>IFERROR(INDEX($L$2:$Q$362,MATCH(250,$V$2:$V$362,0),2),"")</f>
        <v>РК-0</v>
      </c>
      <c r="D254" s="50" t="str">
        <f>IFERROR(INDEX($L$2:$Q$362,MATCH(250,$V$2:$V$362,0),3),"")</f>
        <v>Сталкер</v>
      </c>
      <c r="E254" s="47" t="str">
        <f>IFERROR(INDEX($L$2:$Q$362,MATCH(250,$V$2:$V$362,0),4),"")</f>
        <v>Рукоятки</v>
      </c>
      <c r="I254" s="46"/>
      <c r="L254" s="41">
        <f>'Бартер обвесы'!A472</f>
        <v>68</v>
      </c>
      <c r="M254" s="41" t="str">
        <f>'Бартер обвесы'!C472</f>
        <v>Прицел коллиматорный «Bering OPTICS»</v>
      </c>
      <c r="N254" s="41" t="str">
        <f>'Бартер обвесы'!D472</f>
        <v>Сталкер</v>
      </c>
      <c r="O254" s="41" t="str">
        <f>'Бартер обвесы'!E472</f>
        <v>Прицелы</v>
      </c>
      <c r="P254" s="41" t="str">
        <f t="shared" si="12"/>
        <v>Обвесы</v>
      </c>
      <c r="Q254" s="42">
        <f>IF(ISNUMBER('Бартер обвесы'!G477), 'Бартер обвесы'!G477, "")</f>
        <v>13300</v>
      </c>
      <c r="R254" s="43">
        <v>1</v>
      </c>
      <c r="S254" s="41"/>
      <c r="T254" s="41" t="s">
        <v>719</v>
      </c>
      <c r="U254" s="44">
        <f t="shared" si="10"/>
        <v>1</v>
      </c>
      <c r="V254" s="44">
        <f>IF(U254=1,SUM($U$2:U254),"")</f>
        <v>253</v>
      </c>
    </row>
    <row r="255" spans="2:22">
      <c r="B255" s="47">
        <f>IFERROR(IF(MATCH(251,$V$2:$V$362,0)&gt;0,251,""),"")</f>
        <v>251</v>
      </c>
      <c r="C255" s="6" t="str">
        <f>IFERROR(INDEX($L$2:$Q$362,MATCH(251,$V$2:$V$362,0),2),"")</f>
        <v>FX PTKB FAB Defense</v>
      </c>
      <c r="D255" s="50" t="str">
        <f>IFERROR(INDEX($L$2:$Q$362,MATCH(251,$V$2:$V$362,0),3),"")</f>
        <v>Сталкер</v>
      </c>
      <c r="E255" s="47" t="str">
        <f>IFERROR(INDEX($L$2:$Q$362,MATCH(251,$V$2:$V$362,0),4),"")</f>
        <v>Рукоятки</v>
      </c>
      <c r="I255" s="46"/>
      <c r="L255" s="41">
        <f>'Бартер обвесы'!A479</f>
        <v>69</v>
      </c>
      <c r="M255" s="41" t="str">
        <f>'Бартер обвесы'!C479</f>
        <v>Прицел коллиматорный Trijicon</v>
      </c>
      <c r="N255" s="41" t="str">
        <f>'Бартер обвесы'!D479</f>
        <v>Сталкер</v>
      </c>
      <c r="O255" s="41" t="str">
        <f>'Бартер обвесы'!E479</f>
        <v>Прицелы</v>
      </c>
      <c r="P255" s="41" t="str">
        <f t="shared" si="12"/>
        <v>Обвесы</v>
      </c>
      <c r="Q255" s="42">
        <f>IF(ISNUMBER('Бартер обвесы'!G484), 'Бартер обвесы'!G484, "")</f>
        <v>13300</v>
      </c>
      <c r="R255" s="43">
        <v>1</v>
      </c>
      <c r="S255" s="41"/>
      <c r="T255" s="41" t="s">
        <v>720</v>
      </c>
      <c r="U255" s="44">
        <f t="shared" si="10"/>
        <v>1</v>
      </c>
      <c r="V255" s="44">
        <f>IF(U255=1,SUM($U$2:U255),"")</f>
        <v>254</v>
      </c>
    </row>
    <row r="256" spans="2:22">
      <c r="B256" s="47">
        <f>IFERROR(IF(MATCH(252,$V$2:$V$362,0)&gt;0,252,""),"")</f>
        <v>252</v>
      </c>
      <c r="C256" s="6" t="str">
        <f>IFERROR(INDEX($L$2:$Q$362,MATCH(252,$V$2:$V$362,0),2),"")</f>
        <v>HQ ISSUE Low-Profile Laser Sight (красный лазер)</v>
      </c>
      <c r="D256" s="50" t="str">
        <f>IFERROR(INDEX($L$2:$Q$362,MATCH(252,$V$2:$V$362,0),3),"")</f>
        <v>Сталкер</v>
      </c>
      <c r="E256" s="47" t="str">
        <f>IFERROR(INDEX($L$2:$Q$362,MATCH(252,$V$2:$V$362,0),4),"")</f>
        <v>Другое</v>
      </c>
      <c r="I256" s="46"/>
      <c r="L256" s="41">
        <f>'Бартер обвесы'!A486</f>
        <v>70</v>
      </c>
      <c r="M256" s="41" t="str">
        <f>'Бартер обвесы'!C486</f>
        <v>Прицел коллиматорный Vortex</v>
      </c>
      <c r="N256" s="41" t="str">
        <f>'Бартер обвесы'!D486</f>
        <v>Сталкер</v>
      </c>
      <c r="O256" s="41" t="str">
        <f>'Бартер обвесы'!E486</f>
        <v>Прицелы</v>
      </c>
      <c r="P256" s="41" t="str">
        <f t="shared" si="12"/>
        <v>Обвесы</v>
      </c>
      <c r="Q256" s="42">
        <f>IF(ISNUMBER('Бартер обвесы'!G491), 'Бартер обвесы'!G491, "")</f>
        <v>13300</v>
      </c>
      <c r="R256" s="43">
        <v>1</v>
      </c>
      <c r="S256" s="41"/>
      <c r="T256" s="41" t="s">
        <v>721</v>
      </c>
      <c r="U256" s="44">
        <f t="shared" si="10"/>
        <v>1</v>
      </c>
      <c r="V256" s="44">
        <f>IF(U256=1,SUM($U$2:U256),"")</f>
        <v>255</v>
      </c>
    </row>
    <row r="257" spans="2:22">
      <c r="B257" s="47">
        <f>IFERROR(IF(MATCH(253,$V$2:$V$362,0)&gt;0,253,""),"")</f>
        <v>253</v>
      </c>
      <c r="C257" s="6" t="str">
        <f>IFERROR(INDEX($L$2:$Q$362,MATCH(253,$V$2:$V$362,0),2),"")</f>
        <v>Прицел коллиматорный «Bering OPTICS»</v>
      </c>
      <c r="D257" s="50" t="str">
        <f>IFERROR(INDEX($L$2:$Q$362,MATCH(253,$V$2:$V$362,0),3),"")</f>
        <v>Сталкер</v>
      </c>
      <c r="E257" s="47" t="str">
        <f>IFERROR(INDEX($L$2:$Q$362,MATCH(253,$V$2:$V$362,0),4),"")</f>
        <v>Прицелы</v>
      </c>
      <c r="I257" s="46"/>
      <c r="L257" s="41">
        <f>'Бартер обвесы'!A493</f>
        <v>71</v>
      </c>
      <c r="M257" s="41" t="str">
        <f>'Бартер обвесы'!C493</f>
        <v>Прицел коллиматорный Vortex</v>
      </c>
      <c r="N257" s="41" t="str">
        <f>'Бартер обвесы'!D493</f>
        <v>Сталкер</v>
      </c>
      <c r="O257" s="41" t="str">
        <f>'Бартер обвесы'!E493</f>
        <v>Прицелы</v>
      </c>
      <c r="P257" s="41" t="str">
        <f t="shared" si="12"/>
        <v>Обвесы</v>
      </c>
      <c r="Q257" s="42">
        <f>IF(ISNUMBER('Бартер обвесы'!G498), 'Бартер обвесы'!G498, "")</f>
        <v>13300</v>
      </c>
      <c r="R257" s="43">
        <v>1</v>
      </c>
      <c r="S257" s="41"/>
      <c r="T257" s="41" t="s">
        <v>722</v>
      </c>
      <c r="U257" s="44">
        <f t="shared" si="10"/>
        <v>1</v>
      </c>
      <c r="V257" s="44">
        <f>IF(U257=1,SUM($U$2:U257),"")</f>
        <v>256</v>
      </c>
    </row>
    <row r="258" spans="2:22">
      <c r="B258" s="47">
        <f>IFERROR(IF(MATCH(254,$V$2:$V$362,0)&gt;0,254,""),"")</f>
        <v>254</v>
      </c>
      <c r="C258" s="6" t="str">
        <f>IFERROR(INDEX($L$2:$Q$362,MATCH(254,$V$2:$V$362,0),2),"")</f>
        <v>Прицел коллиматорный Trijicon</v>
      </c>
      <c r="D258" s="50" t="str">
        <f>IFERROR(INDEX($L$2:$Q$362,MATCH(254,$V$2:$V$362,0),3),"")</f>
        <v>Сталкер</v>
      </c>
      <c r="E258" s="47" t="str">
        <f>IFERROR(INDEX($L$2:$Q$362,MATCH(254,$V$2:$V$362,0),4),"")</f>
        <v>Прицелы</v>
      </c>
      <c r="I258" s="46"/>
      <c r="L258" s="41">
        <f>'Бартер обвесы'!A500</f>
        <v>72</v>
      </c>
      <c r="M258" s="41" t="str">
        <f>'Бартер обвесы'!C500</f>
        <v>Прицел оптический Elcan</v>
      </c>
      <c r="N258" s="41" t="str">
        <f>'Бартер обвесы'!D500</f>
        <v>Сталкер</v>
      </c>
      <c r="O258" s="41" t="str">
        <f>'Бартер обвесы'!E500</f>
        <v>Прицелы</v>
      </c>
      <c r="P258" s="41" t="str">
        <f t="shared" si="12"/>
        <v>Обвесы</v>
      </c>
      <c r="Q258" s="42">
        <f>IF(ISNUMBER('Бартер обвесы'!G505), 'Бартер обвесы'!G505, "")</f>
        <v>8200</v>
      </c>
      <c r="R258" s="43">
        <v>1</v>
      </c>
      <c r="S258" s="41"/>
      <c r="T258" s="41" t="s">
        <v>723</v>
      </c>
      <c r="U258" s="44">
        <f t="shared" ref="U258:U321" si="13">IF(IF($D$2="",1,--ISNUMBER(SEARCH($D$2,M258)))*IF($D$3="Все",1,--(O258=$D$3))=1,1,0)</f>
        <v>1</v>
      </c>
      <c r="V258" s="44">
        <f>IF(U258=1,SUM($U$2:U258),"")</f>
        <v>257</v>
      </c>
    </row>
    <row r="259" spans="2:22">
      <c r="B259" s="47">
        <f>IFERROR(IF(MATCH(255,$V$2:$V$362,0)&gt;0,255,""),"")</f>
        <v>255</v>
      </c>
      <c r="C259" s="6" t="str">
        <f>IFERROR(INDEX($L$2:$Q$362,MATCH(255,$V$2:$V$362,0),2),"")</f>
        <v>Прицел коллиматорный Vortex</v>
      </c>
      <c r="D259" s="50" t="str">
        <f>IFERROR(INDEX($L$2:$Q$362,MATCH(255,$V$2:$V$362,0),3),"")</f>
        <v>Сталкер</v>
      </c>
      <c r="E259" s="47" t="str">
        <f>IFERROR(INDEX($L$2:$Q$362,MATCH(255,$V$2:$V$362,0),4),"")</f>
        <v>Прицелы</v>
      </c>
      <c r="I259" s="46"/>
      <c r="L259" s="41">
        <f>'Бартер обвесы'!A507</f>
        <v>73</v>
      </c>
      <c r="M259" s="41" t="str">
        <f>'Бартер обвесы'!C507</f>
        <v>Прицел оптический Trijicon ACOG</v>
      </c>
      <c r="N259" s="41" t="str">
        <f>'Бартер обвесы'!D507</f>
        <v>Сталкер</v>
      </c>
      <c r="O259" s="41" t="str">
        <f>'Бартер обвесы'!E507</f>
        <v>Прицелы</v>
      </c>
      <c r="P259" s="41" t="str">
        <f t="shared" si="12"/>
        <v>Обвесы</v>
      </c>
      <c r="Q259" s="42">
        <f>IF(ISNUMBER('Бартер обвесы'!G512), 'Бартер обвесы'!G512, "")</f>
        <v>11600</v>
      </c>
      <c r="R259" s="43">
        <v>1</v>
      </c>
      <c r="S259" s="41"/>
      <c r="T259" s="41" t="s">
        <v>724</v>
      </c>
      <c r="U259" s="44">
        <f t="shared" si="13"/>
        <v>1</v>
      </c>
      <c r="V259" s="44">
        <f>IF(U259=1,SUM($U$2:U259),"")</f>
        <v>258</v>
      </c>
    </row>
    <row r="260" spans="2:22">
      <c r="B260" s="47">
        <f>IFERROR(IF(MATCH(256,$V$2:$V$362,0)&gt;0,256,""),"")</f>
        <v>256</v>
      </c>
      <c r="C260" s="6" t="str">
        <f>IFERROR(INDEX($L$2:$Q$362,MATCH(256,$V$2:$V$362,0),2),"")</f>
        <v>Прицел коллиматорный Vortex</v>
      </c>
      <c r="D260" s="50" t="str">
        <f>IFERROR(INDEX($L$2:$Q$362,MATCH(256,$V$2:$V$362,0),3),"")</f>
        <v>Сталкер</v>
      </c>
      <c r="E260" s="47" t="str">
        <f>IFERROR(INDEX($L$2:$Q$362,MATCH(256,$V$2:$V$362,0),4),"")</f>
        <v>Прицелы</v>
      </c>
      <c r="I260" s="46"/>
      <c r="L260" s="41">
        <f>'Бартер обвесы'!A514</f>
        <v>74</v>
      </c>
      <c r="M260" s="41" t="str">
        <f>'Бартер обвесы'!C514</f>
        <v>3 Port Mini Compensator</v>
      </c>
      <c r="N260" s="41" t="str">
        <f>'Бартер обвесы'!D514</f>
        <v>Сталкер</v>
      </c>
      <c r="O260" s="41" t="str">
        <f>'Бартер обвесы'!E514</f>
        <v>Надульники и глушители</v>
      </c>
      <c r="P260" s="41" t="str">
        <f t="shared" si="12"/>
        <v>Обвесы</v>
      </c>
      <c r="Q260" s="42">
        <f>IF(ISNUMBER('Бартер обвесы'!G519), 'Бартер обвесы'!G519, "")</f>
        <v>6240</v>
      </c>
      <c r="R260" s="43">
        <v>2</v>
      </c>
      <c r="S260" s="41" t="s">
        <v>361</v>
      </c>
      <c r="T260" s="41" t="s">
        <v>725</v>
      </c>
      <c r="U260" s="44">
        <f t="shared" si="13"/>
        <v>1</v>
      </c>
      <c r="V260" s="44">
        <f>IF(U260=1,SUM($U$2:U260),"")</f>
        <v>259</v>
      </c>
    </row>
    <row r="261" spans="2:22">
      <c r="B261" s="47">
        <f>IFERROR(IF(MATCH(257,$V$2:$V$362,0)&gt;0,257,""),"")</f>
        <v>257</v>
      </c>
      <c r="C261" s="6" t="str">
        <f>IFERROR(INDEX($L$2:$Q$362,MATCH(257,$V$2:$V$362,0),2),"")</f>
        <v>Прицел оптический Elcan</v>
      </c>
      <c r="D261" s="50" t="str">
        <f>IFERROR(INDEX($L$2:$Q$362,MATCH(257,$V$2:$V$362,0),3),"")</f>
        <v>Сталкер</v>
      </c>
      <c r="E261" s="47" t="str">
        <f>IFERROR(INDEX($L$2:$Q$362,MATCH(257,$V$2:$V$362,0),4),"")</f>
        <v>Прицелы</v>
      </c>
      <c r="I261" s="46"/>
      <c r="L261" s="41">
        <f>'Бартер обвесы'!A521</f>
        <v>75</v>
      </c>
      <c r="M261" s="41" t="str">
        <f>'Бартер обвесы'!C521</f>
        <v>АКМЛ</v>
      </c>
      <c r="N261" s="41" t="str">
        <f>'Бартер обвесы'!D521</f>
        <v>Сталкер</v>
      </c>
      <c r="O261" s="41" t="str">
        <f>'Бартер обвесы'!E521</f>
        <v>Надульники и глушители</v>
      </c>
      <c r="P261" s="41" t="str">
        <f t="shared" si="12"/>
        <v>Обвесы</v>
      </c>
      <c r="Q261" s="42">
        <f>IF(ISNUMBER('Бартер обвесы'!G526), 'Бартер обвесы'!G526, "")</f>
        <v>6240</v>
      </c>
      <c r="R261" s="43">
        <v>2</v>
      </c>
      <c r="S261" s="41" t="s">
        <v>362</v>
      </c>
      <c r="T261" s="41" t="s">
        <v>726</v>
      </c>
      <c r="U261" s="44">
        <f t="shared" si="13"/>
        <v>1</v>
      </c>
      <c r="V261" s="44">
        <f>IF(U261=1,SUM($U$2:U261),"")</f>
        <v>260</v>
      </c>
    </row>
    <row r="262" spans="2:22">
      <c r="B262" s="47">
        <f>IFERROR(IF(MATCH(258,$V$2:$V$362,0)&gt;0,258,""),"")</f>
        <v>258</v>
      </c>
      <c r="C262" s="6" t="str">
        <f>IFERROR(INDEX($L$2:$Q$362,MATCH(258,$V$2:$V$362,0),2),"")</f>
        <v>Прицел оптический Trijicon ACOG</v>
      </c>
      <c r="D262" s="50" t="str">
        <f>IFERROR(INDEX($L$2:$Q$362,MATCH(258,$V$2:$V$362,0),3),"")</f>
        <v>Сталкер</v>
      </c>
      <c r="E262" s="47" t="str">
        <f>IFERROR(INDEX($L$2:$Q$362,MATCH(258,$V$2:$V$362,0),4),"")</f>
        <v>Прицелы</v>
      </c>
      <c r="I262" s="46"/>
      <c r="L262" s="41">
        <f>'Бартер обвесы'!A528</f>
        <v>76</v>
      </c>
      <c r="M262" s="41" t="str">
        <f>'Бартер обвесы'!C528</f>
        <v>ДТК «Вихрь»</v>
      </c>
      <c r="N262" s="41" t="str">
        <f>'Бартер обвесы'!D528</f>
        <v>Сталкер</v>
      </c>
      <c r="O262" s="41" t="str">
        <f>'Бартер обвесы'!E528</f>
        <v>Надульники и глушители</v>
      </c>
      <c r="P262" s="41" t="str">
        <f t="shared" si="12"/>
        <v>Обвесы</v>
      </c>
      <c r="Q262" s="42">
        <f>IF(ISNUMBER('Бартер обвесы'!G533), 'Бартер обвесы'!G533, "")</f>
        <v>6240</v>
      </c>
      <c r="R262" s="43">
        <v>2</v>
      </c>
      <c r="S262" s="41" t="s">
        <v>363</v>
      </c>
      <c r="T262" s="41" t="s">
        <v>727</v>
      </c>
      <c r="U262" s="44">
        <f t="shared" si="13"/>
        <v>1</v>
      </c>
      <c r="V262" s="44">
        <f>IF(U262=1,SUM($U$2:U262),"")</f>
        <v>261</v>
      </c>
    </row>
    <row r="263" spans="2:22">
      <c r="B263" s="47">
        <f>IFERROR(IF(MATCH(259,$V$2:$V$362,0)&gt;0,259,""),"")</f>
        <v>259</v>
      </c>
      <c r="C263" s="6" t="str">
        <f>IFERROR(INDEX($L$2:$Q$362,MATCH(259,$V$2:$V$362,0),2),"")</f>
        <v>3 Port Mini Compensator</v>
      </c>
      <c r="D263" s="50" t="str">
        <f>IFERROR(INDEX($L$2:$Q$362,MATCH(259,$V$2:$V$362,0),3),"")</f>
        <v>Сталкер</v>
      </c>
      <c r="E263" s="47" t="str">
        <f>IFERROR(INDEX($L$2:$Q$362,MATCH(259,$V$2:$V$362,0),4),"")</f>
        <v>Надульники и глушители</v>
      </c>
      <c r="I263" s="46"/>
      <c r="L263" s="41">
        <f>'Бартер обвесы'!A535</f>
        <v>77</v>
      </c>
      <c r="M263" s="41" t="str">
        <f>'Бартер обвесы'!C535</f>
        <v>ДТК-1</v>
      </c>
      <c r="N263" s="41" t="str">
        <f>'Бартер обвесы'!D535</f>
        <v>Сталкер</v>
      </c>
      <c r="O263" s="41" t="str">
        <f>'Бартер обвесы'!E535</f>
        <v>Надульники и глушители</v>
      </c>
      <c r="P263" s="41" t="str">
        <f t="shared" si="12"/>
        <v>Обвесы</v>
      </c>
      <c r="Q263" s="42">
        <f>IF(ISNUMBER('Бартер обвесы'!G540), 'Бартер обвесы'!G540, "")</f>
        <v>6240</v>
      </c>
      <c r="R263" s="43">
        <v>2</v>
      </c>
      <c r="S263" s="41" t="s">
        <v>362</v>
      </c>
      <c r="T263" s="41" t="s">
        <v>728</v>
      </c>
      <c r="U263" s="44">
        <f t="shared" si="13"/>
        <v>1</v>
      </c>
      <c r="V263" s="44">
        <f>IF(U263=1,SUM($U$2:U263),"")</f>
        <v>262</v>
      </c>
    </row>
    <row r="264" spans="2:22">
      <c r="B264" s="47">
        <f>IFERROR(IF(MATCH(260,$V$2:$V$362,0)&gt;0,260,""),"")</f>
        <v>260</v>
      </c>
      <c r="C264" s="6" t="str">
        <f>IFERROR(INDEX($L$2:$Q$362,MATCH(260,$V$2:$V$362,0),2),"")</f>
        <v>АКМЛ</v>
      </c>
      <c r="D264" s="50" t="str">
        <f>IFERROR(INDEX($L$2:$Q$362,MATCH(260,$V$2:$V$362,0),3),"")</f>
        <v>Сталкер</v>
      </c>
      <c r="E264" s="47" t="str">
        <f>IFERROR(INDEX($L$2:$Q$362,MATCH(260,$V$2:$V$362,0),4),"")</f>
        <v>Надульники и глушители</v>
      </c>
      <c r="I264" s="46"/>
      <c r="L264" s="41">
        <f>'Бартер обвесы'!A542</f>
        <v>78</v>
      </c>
      <c r="M264" s="41" t="str">
        <f>'Бартер обвесы'!C542</f>
        <v>Пламегаситель LoneWolf</v>
      </c>
      <c r="N264" s="41" t="str">
        <f>'Бартер обвесы'!D542</f>
        <v>Сталкер</v>
      </c>
      <c r="O264" s="41" t="str">
        <f>'Бартер обвесы'!E542</f>
        <v>Надульники и глушители</v>
      </c>
      <c r="P264" s="41" t="str">
        <f t="shared" si="12"/>
        <v>Обвесы</v>
      </c>
      <c r="Q264" s="42">
        <f>IF(ISNUMBER('Бартер обвесы'!G547), 'Бартер обвесы'!G547, "")</f>
        <v>6240</v>
      </c>
      <c r="R264" s="43">
        <v>2</v>
      </c>
      <c r="S264" s="41" t="s">
        <v>364</v>
      </c>
      <c r="T264" s="41" t="s">
        <v>729</v>
      </c>
      <c r="U264" s="44">
        <f t="shared" si="13"/>
        <v>1</v>
      </c>
      <c r="V264" s="44">
        <f>IF(U264=1,SUM($U$2:U264),"")</f>
        <v>263</v>
      </c>
    </row>
    <row r="265" spans="2:22">
      <c r="B265" s="47">
        <f>IFERROR(IF(MATCH(261,$V$2:$V$362,0)&gt;0,261,""),"")</f>
        <v>261</v>
      </c>
      <c r="C265" s="6" t="str">
        <f>IFERROR(INDEX($L$2:$Q$362,MATCH(261,$V$2:$V$362,0),2),"")</f>
        <v>ДТК «Вихрь»</v>
      </c>
      <c r="D265" s="50" t="str">
        <f>IFERROR(INDEX($L$2:$Q$362,MATCH(261,$V$2:$V$362,0),3),"")</f>
        <v>Сталкер</v>
      </c>
      <c r="E265" s="47" t="str">
        <f>IFERROR(INDEX($L$2:$Q$362,MATCH(261,$V$2:$V$362,0),4),"")</f>
        <v>Надульники и глушители</v>
      </c>
      <c r="I265" s="46"/>
      <c r="L265" s="41">
        <f>'Бартер обвесы'!A549</f>
        <v>79</v>
      </c>
      <c r="M265" s="41" t="str">
        <f>'Бартер обвесы'!C549</f>
        <v>CMMG SV Brake 7.62x51</v>
      </c>
      <c r="N265" s="41" t="str">
        <f>'Бартер обвесы'!D549</f>
        <v>Сталкер</v>
      </c>
      <c r="O265" s="41" t="str">
        <f>'Бартер обвесы'!E549</f>
        <v>Надульники и глушители</v>
      </c>
      <c r="P265" s="41" t="str">
        <f t="shared" si="12"/>
        <v>Обвесы</v>
      </c>
      <c r="Q265" s="42">
        <f>IF(ISNUMBER('Бартер обвесы'!G554), 'Бартер обвесы'!G554, "")</f>
        <v>6240</v>
      </c>
      <c r="R265" s="43">
        <v>2</v>
      </c>
      <c r="S265" s="41" t="s">
        <v>365</v>
      </c>
      <c r="T265" s="41" t="s">
        <v>730</v>
      </c>
      <c r="U265" s="44">
        <f t="shared" si="13"/>
        <v>1</v>
      </c>
      <c r="V265" s="44">
        <f>IF(U265=1,SUM($U$2:U265),"")</f>
        <v>264</v>
      </c>
    </row>
    <row r="266" spans="2:22">
      <c r="B266" s="47">
        <f>IFERROR(IF(MATCH(262,$V$2:$V$362,0)&gt;0,262,""),"")</f>
        <v>262</v>
      </c>
      <c r="C266" s="6" t="str">
        <f>IFERROR(INDEX($L$2:$Q$362,MATCH(262,$V$2:$V$362,0),2),"")</f>
        <v>ДТК-1</v>
      </c>
      <c r="D266" s="50" t="str">
        <f>IFERROR(INDEX($L$2:$Q$362,MATCH(262,$V$2:$V$362,0),3),"")</f>
        <v>Сталкер</v>
      </c>
      <c r="E266" s="47" t="str">
        <f>IFERROR(INDEX($L$2:$Q$362,MATCH(262,$V$2:$V$362,0),4),"")</f>
        <v>Надульники и глушители</v>
      </c>
      <c r="I266" s="46"/>
      <c r="L266" s="41">
        <f>'Бартер обвесы'!A556</f>
        <v>80</v>
      </c>
      <c r="M266" s="41" t="str">
        <f>'Бартер обвесы'!C556</f>
        <v>Diamondhead Compensator</v>
      </c>
      <c r="N266" s="41" t="str">
        <f>'Бартер обвесы'!D556</f>
        <v>Сталкер</v>
      </c>
      <c r="O266" s="41" t="str">
        <f>'Бартер обвесы'!E556</f>
        <v>Надульники и глушители</v>
      </c>
      <c r="P266" s="41" t="str">
        <f t="shared" si="12"/>
        <v>Обвесы</v>
      </c>
      <c r="Q266" s="42">
        <f>IF(ISNUMBER('Бартер обвесы'!G561), 'Бартер обвесы'!G561, "")</f>
        <v>6240</v>
      </c>
      <c r="R266" s="43">
        <v>2</v>
      </c>
      <c r="S266" s="41" t="s">
        <v>365</v>
      </c>
      <c r="T266" s="41" t="s">
        <v>731</v>
      </c>
      <c r="U266" s="44">
        <f t="shared" si="13"/>
        <v>1</v>
      </c>
      <c r="V266" s="44">
        <f>IF(U266=1,SUM($U$2:U266),"")</f>
        <v>265</v>
      </c>
    </row>
    <row r="267" spans="2:22">
      <c r="B267" s="47">
        <f>IFERROR(IF(MATCH(263,$V$2:$V$362,0)&gt;0,263,""),"")</f>
        <v>263</v>
      </c>
      <c r="C267" s="6" t="str">
        <f>IFERROR(INDEX($L$2:$Q$362,MATCH(263,$V$2:$V$362,0),2),"")</f>
        <v>Пламегаситель LoneWolf</v>
      </c>
      <c r="D267" s="50" t="str">
        <f>IFERROR(INDEX($L$2:$Q$362,MATCH(263,$V$2:$V$362,0),3),"")</f>
        <v>Сталкер</v>
      </c>
      <c r="E267" s="47" t="str">
        <f>IFERROR(INDEX($L$2:$Q$362,MATCH(263,$V$2:$V$362,0),4),"")</f>
        <v>Надульники и глушители</v>
      </c>
      <c r="I267" s="46"/>
      <c r="L267" s="41">
        <f>'Бартер обвесы'!A563</f>
        <v>81</v>
      </c>
      <c r="M267" s="41" t="str">
        <f>'Бартер обвесы'!C563</f>
        <v>Hera Arms CC Compensator</v>
      </c>
      <c r="N267" s="41" t="str">
        <f>'Бартер обвесы'!D563</f>
        <v>Сталкер</v>
      </c>
      <c r="O267" s="41" t="str">
        <f>'Бартер обвесы'!E563</f>
        <v>Надульники и глушители</v>
      </c>
      <c r="P267" s="41" t="str">
        <f t="shared" si="12"/>
        <v>Обвесы</v>
      </c>
      <c r="Q267" s="42">
        <f>IF(ISNUMBER('Бартер обвесы'!G568), 'Бартер обвесы'!G568, "")</f>
        <v>6240</v>
      </c>
      <c r="R267" s="43">
        <v>2</v>
      </c>
      <c r="S267" s="41" t="s">
        <v>366</v>
      </c>
      <c r="T267" s="41" t="s">
        <v>732</v>
      </c>
      <c r="U267" s="44">
        <f t="shared" si="13"/>
        <v>1</v>
      </c>
      <c r="V267" s="44">
        <f>IF(U267=1,SUM($U$2:U267),"")</f>
        <v>266</v>
      </c>
    </row>
    <row r="268" spans="2:22">
      <c r="B268" s="47">
        <f>IFERROR(IF(MATCH(264,$V$2:$V$362,0)&gt;0,264,""),"")</f>
        <v>264</v>
      </c>
      <c r="C268" s="6" t="str">
        <f>IFERROR(INDEX($L$2:$Q$362,MATCH(264,$V$2:$V$362,0),2),"")</f>
        <v>CMMG SV Brake 7.62x51</v>
      </c>
      <c r="D268" s="50" t="str">
        <f>IFERROR(INDEX($L$2:$Q$362,MATCH(264,$V$2:$V$362,0),3),"")</f>
        <v>Сталкер</v>
      </c>
      <c r="E268" s="47" t="str">
        <f>IFERROR(INDEX($L$2:$Q$362,MATCH(264,$V$2:$V$362,0),4),"")</f>
        <v>Надульники и глушители</v>
      </c>
      <c r="I268" s="46"/>
      <c r="L268" s="41">
        <f>'Бартер обвесы'!A570</f>
        <v>82</v>
      </c>
      <c r="M268" s="41" t="str">
        <f>'Бартер обвесы'!C570</f>
        <v>Precision Armament M11 Severe Duty 7.62x51</v>
      </c>
      <c r="N268" s="41" t="str">
        <f>'Бартер обвесы'!D570</f>
        <v>Сталкер</v>
      </c>
      <c r="O268" s="41" t="str">
        <f>'Бартер обвесы'!E570</f>
        <v>Надульники и глушители</v>
      </c>
      <c r="P268" s="41" t="str">
        <f t="shared" si="12"/>
        <v>Обвесы</v>
      </c>
      <c r="Q268" s="42">
        <f>IF(ISNUMBER('Бартер обвесы'!G575), 'Бартер обвесы'!G575, "")</f>
        <v>6240</v>
      </c>
      <c r="R268" s="43">
        <v>2</v>
      </c>
      <c r="S268" s="41" t="s">
        <v>366</v>
      </c>
      <c r="T268" s="41" t="s">
        <v>733</v>
      </c>
      <c r="U268" s="44">
        <f t="shared" si="13"/>
        <v>1</v>
      </c>
      <c r="V268" s="44">
        <f>IF(U268=1,SUM($U$2:U268),"")</f>
        <v>267</v>
      </c>
    </row>
    <row r="269" spans="2:22">
      <c r="B269" s="47">
        <f>IFERROR(IF(MATCH(265,$V$2:$V$362,0)&gt;0,265,""),"")</f>
        <v>265</v>
      </c>
      <c r="C269" s="6" t="str">
        <f>IFERROR(INDEX($L$2:$Q$362,MATCH(265,$V$2:$V$362,0),2),"")</f>
        <v>Diamondhead Compensator</v>
      </c>
      <c r="D269" s="50" t="str">
        <f>IFERROR(INDEX($L$2:$Q$362,MATCH(265,$V$2:$V$362,0),3),"")</f>
        <v>Сталкер</v>
      </c>
      <c r="E269" s="47" t="str">
        <f>IFERROR(INDEX($L$2:$Q$362,MATCH(265,$V$2:$V$362,0),4),"")</f>
        <v>Надульники и глушители</v>
      </c>
      <c r="I269" s="46"/>
      <c r="L269" s="41">
        <f>'Бартер обвесы'!A577</f>
        <v>83</v>
      </c>
      <c r="M269" s="41" t="str">
        <f>'Бартер обвесы'!C577</f>
        <v>Spikes Tactical Dynacomp</v>
      </c>
      <c r="N269" s="41" t="str">
        <f>'Бартер обвесы'!D577</f>
        <v>Сталкер</v>
      </c>
      <c r="O269" s="41" t="str">
        <f>'Бартер обвесы'!E577</f>
        <v>Надульники и глушители</v>
      </c>
      <c r="P269" s="41" t="str">
        <f t="shared" si="12"/>
        <v>Обвесы</v>
      </c>
      <c r="Q269" s="42">
        <f>IF(ISNUMBER('Бартер обвесы'!G582), 'Бартер обвесы'!G582, "")</f>
        <v>6240</v>
      </c>
      <c r="R269" s="43">
        <v>2</v>
      </c>
      <c r="S269" s="41" t="s">
        <v>363</v>
      </c>
      <c r="T269" s="41" t="s">
        <v>734</v>
      </c>
      <c r="U269" s="44">
        <f t="shared" si="13"/>
        <v>1</v>
      </c>
      <c r="V269" s="44">
        <f>IF(U269=1,SUM($U$2:U269),"")</f>
        <v>268</v>
      </c>
    </row>
    <row r="270" spans="2:22">
      <c r="B270" s="47">
        <f>IFERROR(IF(MATCH(266,$V$2:$V$362,0)&gt;0,266,""),"")</f>
        <v>266</v>
      </c>
      <c r="C270" s="6" t="str">
        <f>IFERROR(INDEX($L$2:$Q$362,MATCH(266,$V$2:$V$362,0),2),"")</f>
        <v>Hera Arms CC Compensator</v>
      </c>
      <c r="D270" s="50" t="str">
        <f>IFERROR(INDEX($L$2:$Q$362,MATCH(266,$V$2:$V$362,0),3),"")</f>
        <v>Сталкер</v>
      </c>
      <c r="E270" s="47" t="str">
        <f>IFERROR(INDEX($L$2:$Q$362,MATCH(266,$V$2:$V$362,0),4),"")</f>
        <v>Надульники и глушители</v>
      </c>
      <c r="I270" s="46"/>
      <c r="L270" s="41">
        <f>'Бартер обвесы'!A584</f>
        <v>84</v>
      </c>
      <c r="M270" s="41" t="str">
        <f>'Бартер обвесы'!C584</f>
        <v>Прицел оптический Барс</v>
      </c>
      <c r="N270" s="41" t="str">
        <f>'Бартер обвесы'!D584</f>
        <v>Сталкер</v>
      </c>
      <c r="O270" s="41" t="str">
        <f>'Бартер обвесы'!E584</f>
        <v>Прицелы</v>
      </c>
      <c r="P270" s="41" t="str">
        <f t="shared" si="12"/>
        <v>Обвесы</v>
      </c>
      <c r="Q270" s="42">
        <f>IF(ISNUMBER('Бартер обвесы'!G589), 'Бартер обвесы'!G589, "")</f>
        <v>9640</v>
      </c>
      <c r="R270" s="43">
        <v>1</v>
      </c>
      <c r="S270" s="41"/>
      <c r="T270" s="41" t="s">
        <v>735</v>
      </c>
      <c r="U270" s="44">
        <f t="shared" si="13"/>
        <v>1</v>
      </c>
      <c r="V270" s="44">
        <f>IF(U270=1,SUM($U$2:U270),"")</f>
        <v>269</v>
      </c>
    </row>
    <row r="271" spans="2:22">
      <c r="B271" s="47">
        <f>IFERROR(IF(MATCH(267,$V$2:$V$362,0)&gt;0,267,""),"")</f>
        <v>267</v>
      </c>
      <c r="C271" s="6" t="str">
        <f>IFERROR(INDEX($L$2:$Q$362,MATCH(267,$V$2:$V$362,0),2),"")</f>
        <v>Precision Armament M11 Severe Duty 7.62x51</v>
      </c>
      <c r="D271" s="50" t="str">
        <f>IFERROR(INDEX($L$2:$Q$362,MATCH(267,$V$2:$V$362,0),3),"")</f>
        <v>Сталкер</v>
      </c>
      <c r="E271" s="47" t="str">
        <f>IFERROR(INDEX($L$2:$Q$362,MATCH(267,$V$2:$V$362,0),4),"")</f>
        <v>Надульники и глушители</v>
      </c>
      <c r="I271" s="46"/>
      <c r="L271" s="41">
        <f>'Бартер обвесы'!A591</f>
        <v>85</v>
      </c>
      <c r="M271" s="41" t="str">
        <f>'Бартер обвесы'!C591</f>
        <v>Прицел оптический ПОСП</v>
      </c>
      <c r="N271" s="41" t="str">
        <f>'Бартер обвесы'!D591</f>
        <v>Сталкер</v>
      </c>
      <c r="O271" s="41" t="str">
        <f>'Бартер обвесы'!E591</f>
        <v>Прицелы</v>
      </c>
      <c r="P271" s="41" t="str">
        <f t="shared" si="12"/>
        <v>Обвесы</v>
      </c>
      <c r="Q271" s="42">
        <f>IF(ISNUMBER('Бартер обвесы'!G596), 'Бартер обвесы'!G596, "")</f>
        <v>9640</v>
      </c>
      <c r="R271" s="43">
        <v>1</v>
      </c>
      <c r="S271" s="41"/>
      <c r="T271" s="41" t="s">
        <v>736</v>
      </c>
      <c r="U271" s="44">
        <f t="shared" si="13"/>
        <v>1</v>
      </c>
      <c r="V271" s="44">
        <f>IF(U271=1,SUM($U$2:U271),"")</f>
        <v>270</v>
      </c>
    </row>
    <row r="272" spans="2:22">
      <c r="B272" s="47">
        <f>IFERROR(IF(MATCH(268,$V$2:$V$362,0)&gt;0,268,""),"")</f>
        <v>268</v>
      </c>
      <c r="C272" s="6" t="str">
        <f>IFERROR(INDEX($L$2:$Q$362,MATCH(268,$V$2:$V$362,0),2),"")</f>
        <v>Spikes Tactical Dynacomp</v>
      </c>
      <c r="D272" s="50" t="str">
        <f>IFERROR(INDEX($L$2:$Q$362,MATCH(268,$V$2:$V$362,0),3),"")</f>
        <v>Сталкер</v>
      </c>
      <c r="E272" s="47" t="str">
        <f>IFERROR(INDEX($L$2:$Q$362,MATCH(268,$V$2:$V$362,0),4),"")</f>
        <v>Надульники и глушители</v>
      </c>
      <c r="I272" s="46"/>
      <c r="L272" s="41">
        <f>'Бартер обвесы'!A598</f>
        <v>86</v>
      </c>
      <c r="M272" s="41" t="str">
        <f>'Бартер обвесы'!C598</f>
        <v>Прицел оптический ПСО</v>
      </c>
      <c r="N272" s="41" t="str">
        <f>'Бартер обвесы'!D598</f>
        <v>Сталкер</v>
      </c>
      <c r="O272" s="41" t="str">
        <f>'Бартер обвесы'!E598</f>
        <v>Прицелы</v>
      </c>
      <c r="P272" s="41" t="str">
        <f t="shared" si="12"/>
        <v>Обвесы</v>
      </c>
      <c r="Q272" s="42">
        <f>IF(ISNUMBER('Бартер обвесы'!G603), 'Бартер обвесы'!G603, "")</f>
        <v>9640</v>
      </c>
      <c r="R272" s="43">
        <v>1</v>
      </c>
      <c r="S272" s="41"/>
      <c r="T272" s="41" t="s">
        <v>737</v>
      </c>
      <c r="U272" s="44">
        <f t="shared" si="13"/>
        <v>1</v>
      </c>
      <c r="V272" s="44">
        <f>IF(U272=1,SUM($U$2:U272),"")</f>
        <v>271</v>
      </c>
    </row>
    <row r="273" spans="2:22">
      <c r="B273" s="47">
        <f>IFERROR(IF(MATCH(269,$V$2:$V$362,0)&gt;0,269,""),"")</f>
        <v>269</v>
      </c>
      <c r="C273" s="6" t="str">
        <f>IFERROR(INDEX($L$2:$Q$362,MATCH(269,$V$2:$V$362,0),2),"")</f>
        <v>Прицел оптический Барс</v>
      </c>
      <c r="D273" s="50" t="str">
        <f>IFERROR(INDEX($L$2:$Q$362,MATCH(269,$V$2:$V$362,0),3),"")</f>
        <v>Сталкер</v>
      </c>
      <c r="E273" s="47" t="str">
        <f>IFERROR(INDEX($L$2:$Q$362,MATCH(269,$V$2:$V$362,0),4),"")</f>
        <v>Прицелы</v>
      </c>
      <c r="I273" s="46"/>
      <c r="L273" s="41">
        <f>'Бартер обвесы'!A605</f>
        <v>87</v>
      </c>
      <c r="M273" s="41" t="str">
        <f>'Бартер обвесы'!C605</f>
        <v>Прицел оптический Elcan</v>
      </c>
      <c r="N273" s="41" t="str">
        <f>'Бартер обвесы'!D605</f>
        <v>Сталкер</v>
      </c>
      <c r="O273" s="41" t="str">
        <f>'Бартер обвесы'!E605</f>
        <v>Прицелы</v>
      </c>
      <c r="P273" s="41" t="str">
        <f t="shared" si="12"/>
        <v>Обвесы</v>
      </c>
      <c r="Q273" s="42">
        <f>IF(ISNUMBER('Бартер обвесы'!G610), 'Бартер обвесы'!G610, "")</f>
        <v>9640</v>
      </c>
      <c r="R273" s="43">
        <v>1</v>
      </c>
      <c r="S273" s="41"/>
      <c r="T273" s="41" t="s">
        <v>738</v>
      </c>
      <c r="U273" s="44">
        <f t="shared" si="13"/>
        <v>1</v>
      </c>
      <c r="V273" s="44">
        <f>IF(U273=1,SUM($U$2:U273),"")</f>
        <v>272</v>
      </c>
    </row>
    <row r="274" spans="2:22">
      <c r="B274" s="47">
        <f>IFERROR(IF(MATCH(270,$V$2:$V$362,0)&gt;0,270,""),"")</f>
        <v>270</v>
      </c>
      <c r="C274" s="6" t="str">
        <f>IFERROR(INDEX($L$2:$Q$362,MATCH(270,$V$2:$V$362,0),2),"")</f>
        <v>Прицел оптический ПОСП</v>
      </c>
      <c r="D274" s="50" t="str">
        <f>IFERROR(INDEX($L$2:$Q$362,MATCH(270,$V$2:$V$362,0),3),"")</f>
        <v>Сталкер</v>
      </c>
      <c r="E274" s="47" t="str">
        <f>IFERROR(INDEX($L$2:$Q$362,MATCH(270,$V$2:$V$362,0),4),"")</f>
        <v>Прицелы</v>
      </c>
      <c r="I274" s="46"/>
      <c r="L274" s="41">
        <f>'Бартер обвесы'!A612</f>
        <v>88</v>
      </c>
      <c r="M274" s="41" t="str">
        <f>'Бартер обвесы'!C612</f>
        <v>Барабанный магазин X-5</v>
      </c>
      <c r="N274" s="41" t="str">
        <f>'Бартер обвесы'!D612</f>
        <v>Сталкер</v>
      </c>
      <c r="O274" s="41" t="str">
        <f>'Бартер обвесы'!E612</f>
        <v>Магазины</v>
      </c>
      <c r="P274" s="41" t="str">
        <f t="shared" si="12"/>
        <v>Обвесы</v>
      </c>
      <c r="Q274" s="42">
        <f>IF(ISNUMBER('Бартер обвесы'!G617), 'Бартер обвесы'!G617, "")</f>
        <v>10300</v>
      </c>
      <c r="R274" s="43">
        <v>1</v>
      </c>
      <c r="S274" s="41"/>
      <c r="T274" s="41" t="s">
        <v>739</v>
      </c>
      <c r="U274" s="44">
        <f t="shared" si="13"/>
        <v>1</v>
      </c>
      <c r="V274" s="44">
        <f>IF(U274=1,SUM($U$2:U274),"")</f>
        <v>273</v>
      </c>
    </row>
    <row r="275" spans="2:22">
      <c r="B275" s="47">
        <f>IFERROR(IF(MATCH(271,$V$2:$V$362,0)&gt;0,271,""),"")</f>
        <v>271</v>
      </c>
      <c r="C275" s="6" t="str">
        <f>IFERROR(INDEX($L$2:$Q$362,MATCH(271,$V$2:$V$362,0),2),"")</f>
        <v>Прицел оптический ПСО</v>
      </c>
      <c r="D275" s="50" t="str">
        <f>IFERROR(INDEX($L$2:$Q$362,MATCH(271,$V$2:$V$362,0),3),"")</f>
        <v>Сталкер</v>
      </c>
      <c r="E275" s="47" t="str">
        <f>IFERROR(INDEX($L$2:$Q$362,MATCH(271,$V$2:$V$362,0),4),"")</f>
        <v>Прицелы</v>
      </c>
      <c r="I275" s="46"/>
      <c r="L275" s="41">
        <f>'Бартер обвесы'!A619</f>
        <v>89</v>
      </c>
      <c r="M275" s="41" t="str">
        <f>'Бартер обвесы'!C619</f>
        <v>Магазин 5.45 PMAG, черный</v>
      </c>
      <c r="N275" s="41" t="str">
        <f>'Бартер обвесы'!D619</f>
        <v>Сталкер</v>
      </c>
      <c r="O275" s="41" t="str">
        <f>'Бартер обвесы'!E619</f>
        <v>Магазины</v>
      </c>
      <c r="P275" s="41" t="str">
        <f t="shared" si="12"/>
        <v>Обвесы</v>
      </c>
      <c r="Q275" s="42">
        <f>IF(ISNUMBER('Бартер обвесы'!G624), 'Бартер обвесы'!G624, "")</f>
        <v>10300</v>
      </c>
      <c r="R275" s="43">
        <v>1</v>
      </c>
      <c r="S275" s="41"/>
      <c r="T275" s="41" t="s">
        <v>740</v>
      </c>
      <c r="U275" s="44">
        <f t="shared" si="13"/>
        <v>1</v>
      </c>
      <c r="V275" s="44">
        <f>IF(U275=1,SUM($U$2:U275),"")</f>
        <v>274</v>
      </c>
    </row>
    <row r="276" spans="2:22">
      <c r="B276" s="47">
        <f>IFERROR(IF(MATCH(272,$V$2:$V$362,0)&gt;0,272,""),"")</f>
        <v>272</v>
      </c>
      <c r="C276" s="6" t="str">
        <f>IFERROR(INDEX($L$2:$Q$362,MATCH(272,$V$2:$V$362,0),2),"")</f>
        <v>Прицел оптический Elcan</v>
      </c>
      <c r="D276" s="50" t="str">
        <f>IFERROR(INDEX($L$2:$Q$362,MATCH(272,$V$2:$V$362,0),3),"")</f>
        <v>Сталкер</v>
      </c>
      <c r="E276" s="47" t="str">
        <f>IFERROR(INDEX($L$2:$Q$362,MATCH(272,$V$2:$V$362,0),4),"")</f>
        <v>Прицелы</v>
      </c>
      <c r="I276" s="46"/>
      <c r="L276" s="41">
        <f>'Бартер обвесы'!A626</f>
        <v>90</v>
      </c>
      <c r="M276" s="41" t="str">
        <f>'Бартер обвесы'!C626</f>
        <v>Боковой кронштейн с планкой Пикатинни</v>
      </c>
      <c r="N276" s="41" t="str">
        <f>'Бартер обвесы'!D626</f>
        <v>Сталкер</v>
      </c>
      <c r="O276" s="41" t="str">
        <f>'Бартер обвесы'!E626</f>
        <v>Цевья</v>
      </c>
      <c r="P276" s="41" t="str">
        <f t="shared" si="12"/>
        <v>Обвесы</v>
      </c>
      <c r="Q276" s="42">
        <f>IF(ISNUMBER('Бартер обвесы'!G631), 'Бартер обвесы'!G631, "")</f>
        <v>8450</v>
      </c>
      <c r="R276" s="43">
        <v>1</v>
      </c>
      <c r="S276" s="41"/>
      <c r="T276" s="41" t="s">
        <v>741</v>
      </c>
      <c r="U276" s="44">
        <f t="shared" si="13"/>
        <v>1</v>
      </c>
      <c r="V276" s="44">
        <f>IF(U276=1,SUM($U$2:U276),"")</f>
        <v>275</v>
      </c>
    </row>
    <row r="277" spans="2:22">
      <c r="B277" s="47">
        <f>IFERROR(IF(MATCH(273,$V$2:$V$362,0)&gt;0,273,""),"")</f>
        <v>273</v>
      </c>
      <c r="C277" s="6" t="str">
        <f>IFERROR(INDEX($L$2:$Q$362,MATCH(273,$V$2:$V$362,0),2),"")</f>
        <v>Барабанный магазин X-5</v>
      </c>
      <c r="D277" s="50" t="str">
        <f>IFERROR(INDEX($L$2:$Q$362,MATCH(273,$V$2:$V$362,0),3),"")</f>
        <v>Сталкер</v>
      </c>
      <c r="E277" s="47" t="str">
        <f>IFERROR(INDEX($L$2:$Q$362,MATCH(273,$V$2:$V$362,0),4),"")</f>
        <v>Магазины</v>
      </c>
      <c r="I277" s="46"/>
      <c r="L277" s="41">
        <f>'Бартер обвесы'!A633</f>
        <v>91</v>
      </c>
      <c r="M277" s="41" t="str">
        <f>'Бартер обвесы'!C633</f>
        <v>Повышающая RIS-планка</v>
      </c>
      <c r="N277" s="41" t="str">
        <f>'Бартер обвесы'!D633</f>
        <v>Сталкер</v>
      </c>
      <c r="O277" s="41" t="str">
        <f>'Бартер обвесы'!E633</f>
        <v>Цевья</v>
      </c>
      <c r="P277" s="41" t="str">
        <f t="shared" si="12"/>
        <v>Обвесы</v>
      </c>
      <c r="Q277" s="42">
        <f>IF(ISNUMBER('Бартер обвесы'!G638), 'Бартер обвесы'!G638, "")</f>
        <v>8450</v>
      </c>
      <c r="R277" s="43">
        <v>1</v>
      </c>
      <c r="S277" s="41"/>
      <c r="T277" s="41" t="s">
        <v>742</v>
      </c>
      <c r="U277" s="44">
        <f t="shared" si="13"/>
        <v>1</v>
      </c>
      <c r="V277" s="44">
        <f>IF(U277=1,SUM($U$2:U277),"")</f>
        <v>276</v>
      </c>
    </row>
    <row r="278" spans="2:22">
      <c r="B278" s="47">
        <f>IFERROR(IF(MATCH(274,$V$2:$V$362,0)&gt;0,274,""),"")</f>
        <v>274</v>
      </c>
      <c r="C278" s="6" t="str">
        <f>IFERROR(INDEX($L$2:$Q$362,MATCH(274,$V$2:$V$362,0),2),"")</f>
        <v>Магазин 5.45 PMAG, черный</v>
      </c>
      <c r="D278" s="50" t="str">
        <f>IFERROR(INDEX($L$2:$Q$362,MATCH(274,$V$2:$V$362,0),3),"")</f>
        <v>Сталкер</v>
      </c>
      <c r="E278" s="47" t="str">
        <f>IFERROR(INDEX($L$2:$Q$362,MATCH(274,$V$2:$V$362,0),4),"")</f>
        <v>Магазины</v>
      </c>
      <c r="I278" s="46"/>
      <c r="L278" s="41">
        <f>'Бартер обвесы'!A640</f>
        <v>92</v>
      </c>
      <c r="M278" s="41" t="str">
        <f>'Бартер обвесы'!C640</f>
        <v>Прицел коллиматорный «ПК-АС»</v>
      </c>
      <c r="N278" s="41" t="str">
        <f>'Бартер обвесы'!D640</f>
        <v>Сталкер</v>
      </c>
      <c r="O278" s="41" t="str">
        <f>'Бартер обвесы'!E640</f>
        <v>Прицелы</v>
      </c>
      <c r="P278" s="41" t="str">
        <f t="shared" si="12"/>
        <v>Обвесы</v>
      </c>
      <c r="Q278" s="42">
        <f>IF(ISNUMBER('Бартер обвесы'!G645), 'Бартер обвесы'!G645, "")</f>
        <v>8620</v>
      </c>
      <c r="R278" s="43">
        <v>1</v>
      </c>
      <c r="S278" s="41"/>
      <c r="T278" s="41" t="s">
        <v>743</v>
      </c>
      <c r="U278" s="44">
        <f t="shared" si="13"/>
        <v>1</v>
      </c>
      <c r="V278" s="44">
        <f>IF(U278=1,SUM($U$2:U278),"")</f>
        <v>277</v>
      </c>
    </row>
    <row r="279" spans="2:22">
      <c r="B279" s="47">
        <f>IFERROR(IF(MATCH(275,$V$2:$V$362,0)&gt;0,275,""),"")</f>
        <v>275</v>
      </c>
      <c r="C279" s="6" t="str">
        <f>IFERROR(INDEX($L$2:$Q$362,MATCH(275,$V$2:$V$362,0),2),"")</f>
        <v>Боковой кронштейн с планкой Пикатинни</v>
      </c>
      <c r="D279" s="50" t="str">
        <f>IFERROR(INDEX($L$2:$Q$362,MATCH(275,$V$2:$V$362,0),3),"")</f>
        <v>Сталкер</v>
      </c>
      <c r="E279" s="47" t="str">
        <f>IFERROR(INDEX($L$2:$Q$362,MATCH(275,$V$2:$V$362,0),4),"")</f>
        <v>Цевья</v>
      </c>
      <c r="I279" s="46"/>
      <c r="L279" s="41">
        <f>'Бартер обвесы'!A647</f>
        <v>93</v>
      </c>
      <c r="M279" s="41" t="str">
        <f>'Бартер обвесы'!C647</f>
        <v>Прицел коллиматорный Sig Sauer</v>
      </c>
      <c r="N279" s="41" t="str">
        <f>'Бартер обвесы'!D647</f>
        <v>Сталкер</v>
      </c>
      <c r="O279" s="41" t="str">
        <f>'Бартер обвесы'!E647</f>
        <v>Прицелы</v>
      </c>
      <c r="P279" s="41" t="str">
        <f t="shared" si="12"/>
        <v>Обвесы</v>
      </c>
      <c r="Q279" s="42">
        <f>IF(ISNUMBER('Бартер обвесы'!G652), 'Бартер обвесы'!G652, "")</f>
        <v>8620</v>
      </c>
      <c r="R279" s="43">
        <v>1</v>
      </c>
      <c r="S279" s="41"/>
      <c r="T279" s="41" t="s">
        <v>744</v>
      </c>
      <c r="U279" s="44">
        <f t="shared" si="13"/>
        <v>1</v>
      </c>
      <c r="V279" s="44">
        <f>IF(U279=1,SUM($U$2:U279),"")</f>
        <v>278</v>
      </c>
    </row>
    <row r="280" spans="2:22">
      <c r="B280" s="47">
        <f>IFERROR(IF(MATCH(276,$V$2:$V$362,0)&gt;0,276,""),"")</f>
        <v>276</v>
      </c>
      <c r="C280" s="6" t="str">
        <f>IFERROR(INDEX($L$2:$Q$362,MATCH(276,$V$2:$V$362,0),2),"")</f>
        <v>Повышающая RIS-планка</v>
      </c>
      <c r="D280" s="50" t="str">
        <f>IFERROR(INDEX($L$2:$Q$362,MATCH(276,$V$2:$V$362,0),3),"")</f>
        <v>Сталкер</v>
      </c>
      <c r="E280" s="47" t="str">
        <f>IFERROR(INDEX($L$2:$Q$362,MATCH(276,$V$2:$V$362,0),4),"")</f>
        <v>Цевья</v>
      </c>
      <c r="I280" s="46"/>
      <c r="L280" s="41">
        <f>'Бартер обвесы'!A654</f>
        <v>94</v>
      </c>
      <c r="M280" s="41" t="str">
        <f>'Бартер обвесы'!C654</f>
        <v>Прицел оптический Пилад 3.5х20</v>
      </c>
      <c r="N280" s="41" t="str">
        <f>'Бартер обвесы'!D654</f>
        <v>Сталкер</v>
      </c>
      <c r="O280" s="41" t="str">
        <f>'Бартер обвесы'!E654</f>
        <v>Прицелы</v>
      </c>
      <c r="P280" s="41" t="str">
        <f t="shared" si="12"/>
        <v>Обвесы</v>
      </c>
      <c r="Q280" s="42">
        <f>IF(ISNUMBER('Бартер обвесы'!G659), 'Бартер обвесы'!G659, "")</f>
        <v>3300</v>
      </c>
      <c r="R280" s="43">
        <v>1</v>
      </c>
      <c r="S280" s="41"/>
      <c r="T280" s="41" t="s">
        <v>745</v>
      </c>
      <c r="U280" s="44">
        <f t="shared" si="13"/>
        <v>1</v>
      </c>
      <c r="V280" s="44">
        <f>IF(U280=1,SUM($U$2:U280),"")</f>
        <v>279</v>
      </c>
    </row>
    <row r="281" spans="2:22">
      <c r="B281" s="47">
        <f>IFERROR(IF(MATCH(277,$V$2:$V$362,0)&gt;0,277,""),"")</f>
        <v>277</v>
      </c>
      <c r="C281" s="6" t="str">
        <f>IFERROR(INDEX($L$2:$Q$362,MATCH(277,$V$2:$V$362,0),2),"")</f>
        <v>Прицел коллиматорный «ПК-АС»</v>
      </c>
      <c r="D281" s="50" t="str">
        <f>IFERROR(INDEX($L$2:$Q$362,MATCH(277,$V$2:$V$362,0),3),"")</f>
        <v>Сталкер</v>
      </c>
      <c r="E281" s="47" t="str">
        <f>IFERROR(INDEX($L$2:$Q$362,MATCH(277,$V$2:$V$362,0),4),"")</f>
        <v>Прицелы</v>
      </c>
      <c r="I281" s="46"/>
      <c r="L281" s="41">
        <f>'Бартер обвесы'!A661</f>
        <v>95</v>
      </c>
      <c r="M281" s="41" t="str">
        <f>'Бартер обвесы'!C661</f>
        <v>Прицел оптический Elcan M145</v>
      </c>
      <c r="N281" s="41" t="str">
        <f>'Бартер обвесы'!D661</f>
        <v>Сталкер</v>
      </c>
      <c r="O281" s="41" t="str">
        <f>'Бартер обвесы'!E661</f>
        <v>Прицелы</v>
      </c>
      <c r="P281" s="41" t="str">
        <f t="shared" si="12"/>
        <v>Обвесы</v>
      </c>
      <c r="Q281" s="42">
        <f>IF(ISNUMBER('Бартер обвесы'!G666), 'Бартер обвесы'!G666, "")</f>
        <v>3300</v>
      </c>
      <c r="R281" s="43">
        <v>1</v>
      </c>
      <c r="S281" s="41"/>
      <c r="T281" s="41" t="s">
        <v>746</v>
      </c>
      <c r="U281" s="44">
        <f t="shared" si="13"/>
        <v>1</v>
      </c>
      <c r="V281" s="44">
        <f>IF(U281=1,SUM($U$2:U281),"")</f>
        <v>280</v>
      </c>
    </row>
    <row r="282" spans="2:22">
      <c r="B282" s="47">
        <f>IFERROR(IF(MATCH(278,$V$2:$V$362,0)&gt;0,278,""),"")</f>
        <v>278</v>
      </c>
      <c r="C282" s="6" t="str">
        <f>IFERROR(INDEX($L$2:$Q$362,MATCH(278,$V$2:$V$362,0),2),"")</f>
        <v>Прицел коллиматорный Sig Sauer</v>
      </c>
      <c r="D282" s="50" t="str">
        <f>IFERROR(INDEX($L$2:$Q$362,MATCH(278,$V$2:$V$362,0),3),"")</f>
        <v>Сталкер</v>
      </c>
      <c r="E282" s="47" t="str">
        <f>IFERROR(INDEX($L$2:$Q$362,MATCH(278,$V$2:$V$362,0),4),"")</f>
        <v>Прицелы</v>
      </c>
      <c r="I282" s="46"/>
      <c r="L282" s="41">
        <f>'Бартер обвесы'!A668</f>
        <v>96</v>
      </c>
      <c r="M282" s="41" t="str">
        <f>'Бартер обвесы'!C668</f>
        <v>Вертикальная рукоятка ANG4</v>
      </c>
      <c r="N282" s="41" t="str">
        <f>'Бартер обвесы'!D668</f>
        <v>Сталкер</v>
      </c>
      <c r="O282" s="41" t="str">
        <f>'Бартер обвесы'!E668</f>
        <v>Рукоятки</v>
      </c>
      <c r="P282" s="41" t="str">
        <f t="shared" si="12"/>
        <v>Обвесы</v>
      </c>
      <c r="Q282" s="42">
        <f>IF(ISNUMBER('Бартер обвесы'!G673), 'Бартер обвесы'!G673, "")</f>
        <v>6990</v>
      </c>
      <c r="R282" s="43">
        <v>2</v>
      </c>
      <c r="S282" s="41" t="s">
        <v>377</v>
      </c>
      <c r="T282" s="41" t="s">
        <v>747</v>
      </c>
      <c r="U282" s="44">
        <f t="shared" si="13"/>
        <v>1</v>
      </c>
      <c r="V282" s="44">
        <f>IF(U282=1,SUM($U$2:U282),"")</f>
        <v>281</v>
      </c>
    </row>
    <row r="283" spans="2:22">
      <c r="B283" s="47">
        <f>IFERROR(IF(MATCH(279,$V$2:$V$362,0)&gt;0,279,""),"")</f>
        <v>279</v>
      </c>
      <c r="C283" s="6" t="str">
        <f>IFERROR(INDEX($L$2:$Q$362,MATCH(279,$V$2:$V$362,0),2),"")</f>
        <v>Прицел оптический Пилад 3.5х20</v>
      </c>
      <c r="D283" s="50" t="str">
        <f>IFERROR(INDEX($L$2:$Q$362,MATCH(279,$V$2:$V$362,0),3),"")</f>
        <v>Сталкер</v>
      </c>
      <c r="E283" s="47" t="str">
        <f>IFERROR(INDEX($L$2:$Q$362,MATCH(279,$V$2:$V$362,0),4),"")</f>
        <v>Прицелы</v>
      </c>
      <c r="I283" s="46"/>
      <c r="L283" s="41">
        <f>'Бартер обвесы'!A675</f>
        <v>97</v>
      </c>
      <c r="M283" s="41" t="str">
        <f>'Бартер обвесы'!C675</f>
        <v>Тактическая рукоятка KAC Vertical Foregrip</v>
      </c>
      <c r="N283" s="41" t="str">
        <f>'Бартер обвесы'!D675</f>
        <v>Сталкер</v>
      </c>
      <c r="O283" s="41" t="str">
        <f>'Бартер обвесы'!E675</f>
        <v>Рукоятки</v>
      </c>
      <c r="P283" s="41" t="str">
        <f t="shared" ref="P283:P314" si="14">"Обвесы"</f>
        <v>Обвесы</v>
      </c>
      <c r="Q283" s="42">
        <f>IF(ISNUMBER('Бартер обвесы'!G680), 'Бартер обвесы'!G680, "")</f>
        <v>6990</v>
      </c>
      <c r="R283" s="43">
        <v>2</v>
      </c>
      <c r="S283" s="41" t="s">
        <v>378</v>
      </c>
      <c r="T283" s="41" t="s">
        <v>748</v>
      </c>
      <c r="U283" s="44">
        <f t="shared" si="13"/>
        <v>1</v>
      </c>
      <c r="V283" s="44">
        <f>IF(U283=1,SUM($U$2:U283),"")</f>
        <v>282</v>
      </c>
    </row>
    <row r="284" spans="2:22">
      <c r="B284" s="47">
        <f>IFERROR(IF(MATCH(280,$V$2:$V$362,0)&gt;0,280,""),"")</f>
        <v>280</v>
      </c>
      <c r="C284" s="6" t="str">
        <f>IFERROR(INDEX($L$2:$Q$362,MATCH(280,$V$2:$V$362,0),2),"")</f>
        <v>Прицел оптический Elcan M145</v>
      </c>
      <c r="D284" s="50" t="str">
        <f>IFERROR(INDEX($L$2:$Q$362,MATCH(280,$V$2:$V$362,0),3),"")</f>
        <v>Сталкер</v>
      </c>
      <c r="E284" s="47" t="str">
        <f>IFERROR(INDEX($L$2:$Q$362,MATCH(280,$V$2:$V$362,0),4),"")</f>
        <v>Прицелы</v>
      </c>
      <c r="I284" s="46"/>
      <c r="L284" s="41">
        <f>'Бартер обвесы'!A682</f>
        <v>98</v>
      </c>
      <c r="M284" s="41" t="str">
        <f>'Бартер обвесы'!C682</f>
        <v>Тактическая рукоятка Magpul AFG</v>
      </c>
      <c r="N284" s="41" t="str">
        <f>'Бартер обвесы'!D682</f>
        <v>Сталкер</v>
      </c>
      <c r="O284" s="41" t="str">
        <f>'Бартер обвесы'!E682</f>
        <v>Рукоятки</v>
      </c>
      <c r="P284" s="41" t="str">
        <f t="shared" si="14"/>
        <v>Обвесы</v>
      </c>
      <c r="Q284" s="42">
        <f>IF(ISNUMBER('Бартер обвесы'!G687), 'Бартер обвесы'!G687, "")</f>
        <v>6990</v>
      </c>
      <c r="R284" s="43">
        <v>2</v>
      </c>
      <c r="S284" s="41" t="s">
        <v>379</v>
      </c>
      <c r="T284" s="41" t="s">
        <v>749</v>
      </c>
      <c r="U284" s="44">
        <f t="shared" si="13"/>
        <v>1</v>
      </c>
      <c r="V284" s="44">
        <f>IF(U284=1,SUM($U$2:U284),"")</f>
        <v>283</v>
      </c>
    </row>
    <row r="285" spans="2:22">
      <c r="B285" s="47">
        <f>IFERROR(IF(MATCH(281,$V$2:$V$362,0)&gt;0,281,""),"")</f>
        <v>281</v>
      </c>
      <c r="C285" s="6" t="str">
        <f>IFERROR(INDEX($L$2:$Q$362,MATCH(281,$V$2:$V$362,0),2),"")</f>
        <v>Вертикальная рукоятка ANG4</v>
      </c>
      <c r="D285" s="50" t="str">
        <f>IFERROR(INDEX($L$2:$Q$362,MATCH(281,$V$2:$V$362,0),3),"")</f>
        <v>Сталкер</v>
      </c>
      <c r="E285" s="47" t="str">
        <f>IFERROR(INDEX($L$2:$Q$362,MATCH(281,$V$2:$V$362,0),4),"")</f>
        <v>Рукоятки</v>
      </c>
      <c r="I285" s="46"/>
      <c r="L285" s="41">
        <f>'Бартер обвесы'!A689</f>
        <v>99</v>
      </c>
      <c r="M285" s="41" t="str">
        <f>'Бартер обвесы'!C689</f>
        <v>Лазерный целеуказатель «Клещ-2ПС»</v>
      </c>
      <c r="N285" s="41" t="str">
        <f>'Бартер обвесы'!D689</f>
        <v>Сталкер</v>
      </c>
      <c r="O285" s="41" t="str">
        <f>'Бартер обвесы'!E689</f>
        <v>Другое</v>
      </c>
      <c r="P285" s="41" t="str">
        <f t="shared" si="14"/>
        <v>Обвесы</v>
      </c>
      <c r="Q285" s="42">
        <f>IF(ISNUMBER('Бартер обвесы'!G694), 'Бартер обвесы'!G694, "")</f>
        <v>7060</v>
      </c>
      <c r="R285" s="43">
        <v>2</v>
      </c>
      <c r="S285" s="41" t="s">
        <v>380</v>
      </c>
      <c r="T285" s="41" t="s">
        <v>750</v>
      </c>
      <c r="U285" s="44">
        <f t="shared" si="13"/>
        <v>1</v>
      </c>
      <c r="V285" s="44">
        <f>IF(U285=1,SUM($U$2:U285),"")</f>
        <v>284</v>
      </c>
    </row>
    <row r="286" spans="2:22">
      <c r="B286" s="47">
        <f>IFERROR(IF(MATCH(282,$V$2:$V$362,0)&gt;0,282,""),"")</f>
        <v>282</v>
      </c>
      <c r="C286" s="6" t="str">
        <f>IFERROR(INDEX($L$2:$Q$362,MATCH(282,$V$2:$V$362,0),2),"")</f>
        <v>Тактическая рукоятка KAC Vertical Foregrip</v>
      </c>
      <c r="D286" s="50" t="str">
        <f>IFERROR(INDEX($L$2:$Q$362,MATCH(282,$V$2:$V$362,0),3),"")</f>
        <v>Сталкер</v>
      </c>
      <c r="E286" s="47" t="str">
        <f>IFERROR(INDEX($L$2:$Q$362,MATCH(282,$V$2:$V$362,0),4),"")</f>
        <v>Рукоятки</v>
      </c>
      <c r="I286" s="46"/>
      <c r="L286" s="41">
        <f>'Бартер обвесы'!A696</f>
        <v>100</v>
      </c>
      <c r="M286" s="41" t="str">
        <f>'Бартер обвесы'!C696</f>
        <v>Магазин 5.45 бакелитовый</v>
      </c>
      <c r="N286" s="41" t="str">
        <f>'Бартер обвесы'!D696</f>
        <v>Сталкер</v>
      </c>
      <c r="O286" s="41" t="str">
        <f>'Бартер обвесы'!E696</f>
        <v>Магазины</v>
      </c>
      <c r="P286" s="41" t="str">
        <f t="shared" si="14"/>
        <v>Обвесы</v>
      </c>
      <c r="Q286" s="42">
        <f>IF(ISNUMBER('Бартер обвесы'!G701), 'Бартер обвесы'!G701, "")</f>
        <v>6280</v>
      </c>
      <c r="R286" s="43">
        <v>1</v>
      </c>
      <c r="S286" s="41" t="s">
        <v>327</v>
      </c>
      <c r="T286" s="41" t="s">
        <v>751</v>
      </c>
      <c r="U286" s="44">
        <f t="shared" si="13"/>
        <v>1</v>
      </c>
      <c r="V286" s="44">
        <f>IF(U286=1,SUM($U$2:U286),"")</f>
        <v>285</v>
      </c>
    </row>
    <row r="287" spans="2:22">
      <c r="B287" s="47">
        <f>IFERROR(IF(MATCH(283,$V$2:$V$362,0)&gt;0,283,""),"")</f>
        <v>283</v>
      </c>
      <c r="C287" s="6" t="str">
        <f>IFERROR(INDEX($L$2:$Q$362,MATCH(283,$V$2:$V$362,0),2),"")</f>
        <v>Тактическая рукоятка Magpul AFG</v>
      </c>
      <c r="D287" s="50" t="str">
        <f>IFERROR(INDEX($L$2:$Q$362,MATCH(283,$V$2:$V$362,0),3),"")</f>
        <v>Сталкер</v>
      </c>
      <c r="E287" s="47" t="str">
        <f>IFERROR(INDEX($L$2:$Q$362,MATCH(283,$V$2:$V$362,0),4),"")</f>
        <v>Рукоятки</v>
      </c>
      <c r="I287" s="46"/>
      <c r="L287" s="41">
        <f>'Бартер обвесы'!A703</f>
        <v>101</v>
      </c>
      <c r="M287" s="41" t="str">
        <f>'Бартер обвесы'!C703</f>
        <v>Магазин 5.56 NATO PMAG, черный</v>
      </c>
      <c r="N287" s="41" t="str">
        <f>'Бартер обвесы'!D703</f>
        <v>Сталкер</v>
      </c>
      <c r="O287" s="41" t="str">
        <f>'Бартер обвесы'!E703</f>
        <v>Магазины</v>
      </c>
      <c r="P287" s="41" t="str">
        <f t="shared" si="14"/>
        <v>Обвесы</v>
      </c>
      <c r="Q287" s="42">
        <f>IF(ISNUMBER('Бартер обвесы'!G708), 'Бартер обвесы'!G708, "")</f>
        <v>6280</v>
      </c>
      <c r="R287" s="43">
        <v>1</v>
      </c>
      <c r="S287" s="41" t="s">
        <v>290</v>
      </c>
      <c r="T287" s="41" t="s">
        <v>752</v>
      </c>
      <c r="U287" s="44">
        <f t="shared" si="13"/>
        <v>1</v>
      </c>
      <c r="V287" s="44">
        <f>IF(U287=1,SUM($U$2:U287),"")</f>
        <v>286</v>
      </c>
    </row>
    <row r="288" spans="2:22">
      <c r="B288" s="47">
        <f>IFERROR(IF(MATCH(284,$V$2:$V$362,0)&gt;0,284,""),"")</f>
        <v>284</v>
      </c>
      <c r="C288" s="6" t="str">
        <f>IFERROR(INDEX($L$2:$Q$362,MATCH(284,$V$2:$V$362,0),2),"")</f>
        <v>Лазерный целеуказатель «Клещ-2ПС»</v>
      </c>
      <c r="D288" s="50" t="str">
        <f>IFERROR(INDEX($L$2:$Q$362,MATCH(284,$V$2:$V$362,0),3),"")</f>
        <v>Сталкер</v>
      </c>
      <c r="E288" s="47" t="str">
        <f>IFERROR(INDEX($L$2:$Q$362,MATCH(284,$V$2:$V$362,0),4),"")</f>
        <v>Другое</v>
      </c>
      <c r="I288" s="46"/>
      <c r="L288" s="41">
        <f>'Бартер обвесы'!A710</f>
        <v>102</v>
      </c>
      <c r="M288" s="41" t="str">
        <f>'Бартер обвесы'!C710</f>
        <v>Магазин 7.62 бакелитовый</v>
      </c>
      <c r="N288" s="41" t="str">
        <f>'Бартер обвесы'!D710</f>
        <v>Сталкер</v>
      </c>
      <c r="O288" s="41" t="str">
        <f>'Бартер обвесы'!E710</f>
        <v>Магазины</v>
      </c>
      <c r="P288" s="41" t="str">
        <f t="shared" si="14"/>
        <v>Обвесы</v>
      </c>
      <c r="Q288" s="42">
        <f>IF(ISNUMBER('Бартер обвесы'!G715), 'Бартер обвесы'!G715, "")</f>
        <v>6280</v>
      </c>
      <c r="R288" s="43">
        <v>1</v>
      </c>
      <c r="S288" s="41" t="s">
        <v>327</v>
      </c>
      <c r="T288" s="41" t="s">
        <v>753</v>
      </c>
      <c r="U288" s="44">
        <f t="shared" si="13"/>
        <v>1</v>
      </c>
      <c r="V288" s="44">
        <f>IF(U288=1,SUM($U$2:U288),"")</f>
        <v>287</v>
      </c>
    </row>
    <row r="289" spans="2:22">
      <c r="B289" s="47">
        <f>IFERROR(IF(MATCH(285,$V$2:$V$362,0)&gt;0,285,""),"")</f>
        <v>285</v>
      </c>
      <c r="C289" s="6" t="str">
        <f>IFERROR(INDEX($L$2:$Q$362,MATCH(285,$V$2:$V$362,0),2),"")</f>
        <v>Магазин 5.45 бакелитовый</v>
      </c>
      <c r="D289" s="50" t="str">
        <f>IFERROR(INDEX($L$2:$Q$362,MATCH(285,$V$2:$V$362,0),3),"")</f>
        <v>Сталкер</v>
      </c>
      <c r="E289" s="47" t="str">
        <f>IFERROR(INDEX($L$2:$Q$362,MATCH(285,$V$2:$V$362,0),4),"")</f>
        <v>Магазины</v>
      </c>
      <c r="I289" s="46"/>
      <c r="L289" s="41">
        <f>'Бартер обвесы'!A717</f>
        <v>103</v>
      </c>
      <c r="M289" s="41" t="str">
        <f>'Бартер обвесы'!C717</f>
        <v>Увеличенный магазин Beretta</v>
      </c>
      <c r="N289" s="41" t="str">
        <f>'Бартер обвесы'!D717</f>
        <v>Сталкер</v>
      </c>
      <c r="O289" s="41" t="str">
        <f>'Бартер обвесы'!E717</f>
        <v>Магазины</v>
      </c>
      <c r="P289" s="41" t="str">
        <f t="shared" si="14"/>
        <v>Обвесы</v>
      </c>
      <c r="Q289" s="42">
        <f>IF(ISNUMBER('Бартер обвесы'!G722), 'Бартер обвесы'!G722, "")</f>
        <v>6280</v>
      </c>
      <c r="R289" s="43">
        <v>1</v>
      </c>
      <c r="S289" s="41" t="s">
        <v>382</v>
      </c>
      <c r="T289" s="41" t="s">
        <v>754</v>
      </c>
      <c r="U289" s="44">
        <f t="shared" si="13"/>
        <v>1</v>
      </c>
      <c r="V289" s="44">
        <f>IF(U289=1,SUM($U$2:U289),"")</f>
        <v>288</v>
      </c>
    </row>
    <row r="290" spans="2:22">
      <c r="B290" s="47">
        <f>IFERROR(IF(MATCH(286,$V$2:$V$362,0)&gt;0,286,""),"")</f>
        <v>286</v>
      </c>
      <c r="C290" s="6" t="str">
        <f>IFERROR(INDEX($L$2:$Q$362,MATCH(286,$V$2:$V$362,0),2),"")</f>
        <v>Магазин 5.56 NATO PMAG, черный</v>
      </c>
      <c r="D290" s="50" t="str">
        <f>IFERROR(INDEX($L$2:$Q$362,MATCH(286,$V$2:$V$362,0),3),"")</f>
        <v>Сталкер</v>
      </c>
      <c r="E290" s="47" t="str">
        <f>IFERROR(INDEX($L$2:$Q$362,MATCH(286,$V$2:$V$362,0),4),"")</f>
        <v>Магазины</v>
      </c>
      <c r="I290" s="46"/>
      <c r="L290" s="41">
        <f>'Бартер обвесы'!A724</f>
        <v>104</v>
      </c>
      <c r="M290" s="41" t="str">
        <f>'Бартер обвесы'!C724</f>
        <v>Магазин 5.56 NATO STANAG</v>
      </c>
      <c r="N290" s="41" t="str">
        <f>'Бартер обвесы'!D724</f>
        <v>Сталкер</v>
      </c>
      <c r="O290" s="41" t="str">
        <f>'Бартер обвесы'!E724</f>
        <v>Магазины</v>
      </c>
      <c r="P290" s="41" t="str">
        <f t="shared" si="14"/>
        <v>Обвесы</v>
      </c>
      <c r="Q290" s="42">
        <f>IF(ISNUMBER('Бартер обвесы'!G729), 'Бартер обвесы'!G729, "")</f>
        <v>7360</v>
      </c>
      <c r="R290" s="43">
        <v>2</v>
      </c>
      <c r="S290" s="41"/>
      <c r="T290" s="41" t="s">
        <v>755</v>
      </c>
      <c r="U290" s="44">
        <f t="shared" si="13"/>
        <v>1</v>
      </c>
      <c r="V290" s="44">
        <f>IF(U290=1,SUM($U$2:U290),"")</f>
        <v>289</v>
      </c>
    </row>
    <row r="291" spans="2:22">
      <c r="B291" s="47">
        <f>IFERROR(IF(MATCH(287,$V$2:$V$362,0)&gt;0,287,""),"")</f>
        <v>287</v>
      </c>
      <c r="C291" s="6" t="str">
        <f>IFERROR(INDEX($L$2:$Q$362,MATCH(287,$V$2:$V$362,0),2),"")</f>
        <v>Магазин 7.62 бакелитовый</v>
      </c>
      <c r="D291" s="50" t="str">
        <f>IFERROR(INDEX($L$2:$Q$362,MATCH(287,$V$2:$V$362,0),3),"")</f>
        <v>Сталкер</v>
      </c>
      <c r="E291" s="47" t="str">
        <f>IFERROR(INDEX($L$2:$Q$362,MATCH(287,$V$2:$V$362,0),4),"")</f>
        <v>Магазины</v>
      </c>
      <c r="I291" s="46"/>
      <c r="L291" s="41">
        <f>'Бартер обвесы'!A731</f>
        <v>105</v>
      </c>
      <c r="M291" s="41" t="str">
        <f>'Бартер обвесы'!C731</f>
        <v>Увеличенный магазин Colt</v>
      </c>
      <c r="N291" s="41" t="str">
        <f>'Бартер обвесы'!D731</f>
        <v>Сталкер</v>
      </c>
      <c r="O291" s="41" t="str">
        <f>'Бартер обвесы'!E731</f>
        <v>Магазины</v>
      </c>
      <c r="P291" s="41" t="str">
        <f t="shared" si="14"/>
        <v>Обвесы</v>
      </c>
      <c r="Q291" s="42">
        <f>IF(ISNUMBER('Бартер обвесы'!G736), 'Бартер обвесы'!G736, "")</f>
        <v>7360</v>
      </c>
      <c r="R291" s="43">
        <v>3</v>
      </c>
      <c r="S291" s="41" t="s">
        <v>756</v>
      </c>
      <c r="T291" s="41" t="s">
        <v>757</v>
      </c>
      <c r="U291" s="44">
        <f t="shared" si="13"/>
        <v>1</v>
      </c>
      <c r="V291" s="44">
        <f>IF(U291=1,SUM($U$2:U291),"")</f>
        <v>290</v>
      </c>
    </row>
    <row r="292" spans="2:22">
      <c r="B292" s="47">
        <f>IFERROR(IF(MATCH(288,$V$2:$V$362,0)&gt;0,288,""),"")</f>
        <v>288</v>
      </c>
      <c r="C292" s="6" t="str">
        <f>IFERROR(INDEX($L$2:$Q$362,MATCH(288,$V$2:$V$362,0),2),"")</f>
        <v>Увеличенный магазин Beretta</v>
      </c>
      <c r="D292" s="50" t="str">
        <f>IFERROR(INDEX($L$2:$Q$362,MATCH(288,$V$2:$V$362,0),3),"")</f>
        <v>Сталкер</v>
      </c>
      <c r="E292" s="47" t="str">
        <f>IFERROR(INDEX($L$2:$Q$362,MATCH(288,$V$2:$V$362,0),4),"")</f>
        <v>Магазины</v>
      </c>
      <c r="I292" s="46"/>
      <c r="L292" s="41">
        <f>'Бартер обвесы'!A738</f>
        <v>106</v>
      </c>
      <c r="M292" s="41" t="str">
        <f>'Бартер обвесы'!C738</f>
        <v>Увеличенный магазин Browning</v>
      </c>
      <c r="N292" s="41" t="str">
        <f>'Бартер обвесы'!D738</f>
        <v>Сталкер</v>
      </c>
      <c r="O292" s="41" t="str">
        <f>'Бартер обвесы'!E738</f>
        <v>Магазины</v>
      </c>
      <c r="P292" s="41" t="str">
        <f t="shared" si="14"/>
        <v>Обвесы</v>
      </c>
      <c r="Q292" s="42">
        <f>IF(ISNUMBER('Бартер обвесы'!G743), 'Бартер обвесы'!G743, "")</f>
        <v>1520</v>
      </c>
      <c r="R292" s="43">
        <v>2</v>
      </c>
      <c r="S292" s="41" t="s">
        <v>385</v>
      </c>
      <c r="T292" s="41" t="s">
        <v>758</v>
      </c>
      <c r="U292" s="44">
        <f t="shared" si="13"/>
        <v>1</v>
      </c>
      <c r="V292" s="44">
        <f>IF(U292=1,SUM($U$2:U292),"")</f>
        <v>291</v>
      </c>
    </row>
    <row r="293" spans="2:22">
      <c r="B293" s="47">
        <f>IFERROR(IF(MATCH(289,$V$2:$V$362,0)&gt;0,289,""),"")</f>
        <v>289</v>
      </c>
      <c r="C293" s="6" t="str">
        <f>IFERROR(INDEX($L$2:$Q$362,MATCH(289,$V$2:$V$362,0),2),"")</f>
        <v>Магазин 5.56 NATO STANAG</v>
      </c>
      <c r="D293" s="50" t="str">
        <f>IFERROR(INDEX($L$2:$Q$362,MATCH(289,$V$2:$V$362,0),3),"")</f>
        <v>Сталкер</v>
      </c>
      <c r="E293" s="47" t="str">
        <f>IFERROR(INDEX($L$2:$Q$362,MATCH(289,$V$2:$V$362,0),4),"")</f>
        <v>Магазины</v>
      </c>
      <c r="I293" s="46"/>
      <c r="L293" s="41">
        <f>'Бартер обвесы'!A745</f>
        <v>107</v>
      </c>
      <c r="M293" s="41" t="str">
        <f>'Бартер обвесы'!C745</f>
        <v>ДТК-2</v>
      </c>
      <c r="N293" s="41" t="str">
        <f>'Бартер обвесы'!D745</f>
        <v>Новичок</v>
      </c>
      <c r="O293" s="41" t="str">
        <f>'Бартер обвесы'!E745</f>
        <v>Надульники и глушители</v>
      </c>
      <c r="P293" s="41" t="str">
        <f t="shared" si="14"/>
        <v>Обвесы</v>
      </c>
      <c r="Q293" s="42">
        <f>IF(ISNUMBER('Бартер обвесы'!G750), 'Бартер обвесы'!G750, "")</f>
        <v>2390</v>
      </c>
      <c r="R293" s="43">
        <v>1</v>
      </c>
      <c r="S293" s="41"/>
      <c r="T293" s="41" t="s">
        <v>759</v>
      </c>
      <c r="U293" s="44">
        <f t="shared" si="13"/>
        <v>1</v>
      </c>
      <c r="V293" s="44">
        <f>IF(U293=1,SUM($U$2:U293),"")</f>
        <v>292</v>
      </c>
    </row>
    <row r="294" spans="2:22">
      <c r="B294" s="47">
        <f>IFERROR(IF(MATCH(290,$V$2:$V$362,0)&gt;0,290,""),"")</f>
        <v>290</v>
      </c>
      <c r="C294" s="6" t="str">
        <f>IFERROR(INDEX($L$2:$Q$362,MATCH(290,$V$2:$V$362,0),2),"")</f>
        <v>Увеличенный магазин Colt</v>
      </c>
      <c r="D294" s="50" t="str">
        <f>IFERROR(INDEX($L$2:$Q$362,MATCH(290,$V$2:$V$362,0),3),"")</f>
        <v>Сталкер</v>
      </c>
      <c r="E294" s="47" t="str">
        <f>IFERROR(INDEX($L$2:$Q$362,MATCH(290,$V$2:$V$362,0),4),"")</f>
        <v>Магазины</v>
      </c>
      <c r="I294" s="46"/>
      <c r="L294" s="41">
        <f>'Бартер обвесы'!A752</f>
        <v>108</v>
      </c>
      <c r="M294" s="41" t="str">
        <f>'Бартер обвесы'!C752</f>
        <v>Пламегаситель AKademia Тьма</v>
      </c>
      <c r="N294" s="41" t="str">
        <f>'Бартер обвесы'!D752</f>
        <v>Новичок</v>
      </c>
      <c r="O294" s="41" t="str">
        <f>'Бартер обвесы'!E752</f>
        <v>Надульники и глушители</v>
      </c>
      <c r="P294" s="41" t="str">
        <f t="shared" si="14"/>
        <v>Обвесы</v>
      </c>
      <c r="Q294" s="42">
        <f>IF(ISNUMBER('Бартер обвесы'!G757), 'Бартер обвесы'!G757, "")</f>
        <v>2390</v>
      </c>
      <c r="R294" s="43">
        <v>1</v>
      </c>
      <c r="S294" s="41"/>
      <c r="T294" s="41" t="s">
        <v>760</v>
      </c>
      <c r="U294" s="44">
        <f t="shared" si="13"/>
        <v>1</v>
      </c>
      <c r="V294" s="44">
        <f>IF(U294=1,SUM($U$2:U294),"")</f>
        <v>293</v>
      </c>
    </row>
    <row r="295" spans="2:22">
      <c r="B295" s="47">
        <f>IFERROR(IF(MATCH(291,$V$2:$V$362,0)&gt;0,291,""),"")</f>
        <v>291</v>
      </c>
      <c r="C295" s="6" t="str">
        <f>IFERROR(INDEX($L$2:$Q$362,MATCH(291,$V$2:$V$362,0),2),"")</f>
        <v>Увеличенный магазин Browning</v>
      </c>
      <c r="D295" s="50" t="str">
        <f>IFERROR(INDEX($L$2:$Q$362,MATCH(291,$V$2:$V$362,0),3),"")</f>
        <v>Сталкер</v>
      </c>
      <c r="E295" s="47" t="str">
        <f>IFERROR(INDEX($L$2:$Q$362,MATCH(291,$V$2:$V$362,0),4),"")</f>
        <v>Магазины</v>
      </c>
      <c r="I295" s="46"/>
      <c r="L295" s="41">
        <f>'Бартер обвесы'!A759</f>
        <v>109</v>
      </c>
      <c r="M295" s="41" t="str">
        <f>'Бартер обвесы'!C759</f>
        <v>Пламегаситель Noveske KX3</v>
      </c>
      <c r="N295" s="41" t="str">
        <f>'Бартер обвесы'!D759</f>
        <v>Новичок</v>
      </c>
      <c r="O295" s="41" t="str">
        <f>'Бартер обвесы'!E759</f>
        <v>Надульники и глушители</v>
      </c>
      <c r="P295" s="41" t="str">
        <f t="shared" si="14"/>
        <v>Обвесы</v>
      </c>
      <c r="Q295" s="42">
        <f>IF(ISNUMBER('Бартер обвесы'!G764), 'Бартер обвесы'!G764, "")</f>
        <v>2390</v>
      </c>
      <c r="R295" s="43">
        <v>1</v>
      </c>
      <c r="S295" s="41"/>
      <c r="T295" s="41" t="s">
        <v>761</v>
      </c>
      <c r="U295" s="44">
        <f t="shared" si="13"/>
        <v>1</v>
      </c>
      <c r="V295" s="44">
        <f>IF(U295=1,SUM($U$2:U295),"")</f>
        <v>294</v>
      </c>
    </row>
    <row r="296" spans="2:22">
      <c r="B296" s="47">
        <f>IFERROR(IF(MATCH(292,$V$2:$V$362,0)&gt;0,292,""),"")</f>
        <v>292</v>
      </c>
      <c r="C296" s="7" t="str">
        <f>IFERROR(INDEX($L$2:$Q$362,MATCH(292,$V$2:$V$362,0),2),"")</f>
        <v>ДТК-2</v>
      </c>
      <c r="D296" s="51" t="str">
        <f>IFERROR(INDEX($L$2:$Q$362,MATCH(292,$V$2:$V$362,0),3),"")</f>
        <v>Новичок</v>
      </c>
      <c r="E296" s="47" t="str">
        <f>IFERROR(INDEX($L$2:$Q$362,MATCH(292,$V$2:$V$362,0),4),"")</f>
        <v>Надульники и глушители</v>
      </c>
      <c r="I296" s="46"/>
      <c r="L296" s="41">
        <f>'Бартер обвесы'!A766</f>
        <v>110</v>
      </c>
      <c r="M296" s="41" t="str">
        <f>'Бартер обвесы'!C766</f>
        <v>MICRO BADGER</v>
      </c>
      <c r="N296" s="41" t="str">
        <f>'Бартер обвесы'!D766</f>
        <v>Новичок</v>
      </c>
      <c r="O296" s="41" t="str">
        <f>'Бартер обвесы'!E766</f>
        <v>Надульники и глушители</v>
      </c>
      <c r="P296" s="41" t="str">
        <f t="shared" si="14"/>
        <v>Обвесы</v>
      </c>
      <c r="Q296" s="42">
        <f>IF(ISNUMBER('Бартер обвесы'!G771), 'Бартер обвесы'!G771, "")</f>
        <v>2390</v>
      </c>
      <c r="R296" s="43">
        <v>1</v>
      </c>
      <c r="S296" s="41"/>
      <c r="T296" s="41" t="s">
        <v>762</v>
      </c>
      <c r="U296" s="44">
        <f t="shared" si="13"/>
        <v>1</v>
      </c>
      <c r="V296" s="44">
        <f>IF(U296=1,SUM($U$2:U296),"")</f>
        <v>295</v>
      </c>
    </row>
    <row r="297" spans="2:22">
      <c r="B297" s="47">
        <f>IFERROR(IF(MATCH(293,$V$2:$V$362,0)&gt;0,293,""),"")</f>
        <v>293</v>
      </c>
      <c r="C297" s="7" t="str">
        <f>IFERROR(INDEX($L$2:$Q$362,MATCH(293,$V$2:$V$362,0),2),"")</f>
        <v>Пламегаситель AKademia Тьма</v>
      </c>
      <c r="D297" s="51" t="str">
        <f>IFERROR(INDEX($L$2:$Q$362,MATCH(293,$V$2:$V$362,0),3),"")</f>
        <v>Новичок</v>
      </c>
      <c r="E297" s="47" t="str">
        <f>IFERROR(INDEX($L$2:$Q$362,MATCH(293,$V$2:$V$362,0),4),"")</f>
        <v>Надульники и глушители</v>
      </c>
      <c r="I297" s="46"/>
      <c r="L297" s="41">
        <f>'Бартер обвесы'!A773</f>
        <v>111</v>
      </c>
      <c r="M297" s="41" t="str">
        <f>'Бартер обвесы'!C773</f>
        <v>Resistance Armament Compensator</v>
      </c>
      <c r="N297" s="41" t="str">
        <f>'Бартер обвесы'!D773</f>
        <v>Новичок</v>
      </c>
      <c r="O297" s="41" t="str">
        <f>'Бартер обвесы'!E773</f>
        <v>Надульники и глушители</v>
      </c>
      <c r="P297" s="41" t="str">
        <f t="shared" si="14"/>
        <v>Обвесы</v>
      </c>
      <c r="Q297" s="42">
        <f>IF(ISNUMBER('Бартер обвесы'!G778), 'Бартер обвесы'!G778, "")</f>
        <v>2390</v>
      </c>
      <c r="R297" s="43">
        <v>1</v>
      </c>
      <c r="S297" s="41"/>
      <c r="T297" s="41" t="s">
        <v>763</v>
      </c>
      <c r="U297" s="44">
        <f t="shared" si="13"/>
        <v>1</v>
      </c>
      <c r="V297" s="44">
        <f>IF(U297=1,SUM($U$2:U297),"")</f>
        <v>296</v>
      </c>
    </row>
    <row r="298" spans="2:22">
      <c r="B298" s="47">
        <f>IFERROR(IF(MATCH(294,$V$2:$V$362,0)&gt;0,294,""),"")</f>
        <v>294</v>
      </c>
      <c r="C298" s="7" t="str">
        <f>IFERROR(INDEX($L$2:$Q$362,MATCH(294,$V$2:$V$362,0),2),"")</f>
        <v>Пламегаситель Noveske KX3</v>
      </c>
      <c r="D298" s="51" t="str">
        <f>IFERROR(INDEX($L$2:$Q$362,MATCH(294,$V$2:$V$362,0),3),"")</f>
        <v>Новичок</v>
      </c>
      <c r="E298" s="47" t="str">
        <f>IFERROR(INDEX($L$2:$Q$362,MATCH(294,$V$2:$V$362,0),4),"")</f>
        <v>Надульники и глушители</v>
      </c>
      <c r="I298" s="46"/>
      <c r="L298" s="41">
        <f>'Бартер обвесы'!A780</f>
        <v>112</v>
      </c>
      <c r="M298" s="41" t="str">
        <f>'Бартер обвесы'!C780</f>
        <v>VR-09</v>
      </c>
      <c r="N298" s="41" t="str">
        <f>'Бартер обвесы'!D780</f>
        <v>Новичок</v>
      </c>
      <c r="O298" s="41" t="str">
        <f>'Бартер обвесы'!E780</f>
        <v>Надульники и глушители</v>
      </c>
      <c r="P298" s="41" t="str">
        <f t="shared" si="14"/>
        <v>Обвесы</v>
      </c>
      <c r="Q298" s="42">
        <f>IF(ISNUMBER('Бартер обвесы'!G785), 'Бартер обвесы'!G785, "")</f>
        <v>2390</v>
      </c>
      <c r="R298" s="43">
        <v>1</v>
      </c>
      <c r="S298" s="41"/>
      <c r="T298" s="41" t="s">
        <v>764</v>
      </c>
      <c r="U298" s="44">
        <f t="shared" si="13"/>
        <v>1</v>
      </c>
      <c r="V298" s="44">
        <f>IF(U298=1,SUM($U$2:U298),"")</f>
        <v>297</v>
      </c>
    </row>
    <row r="299" spans="2:22">
      <c r="B299" s="47">
        <f>IFERROR(IF(MATCH(295,$V$2:$V$362,0)&gt;0,295,""),"")</f>
        <v>295</v>
      </c>
      <c r="C299" s="7" t="str">
        <f>IFERROR(INDEX($L$2:$Q$362,MATCH(295,$V$2:$V$362,0),2),"")</f>
        <v>MICRO BADGER</v>
      </c>
      <c r="D299" s="51" t="str">
        <f>IFERROR(INDEX($L$2:$Q$362,MATCH(295,$V$2:$V$362,0),3),"")</f>
        <v>Новичок</v>
      </c>
      <c r="E299" s="47" t="str">
        <f>IFERROR(INDEX($L$2:$Q$362,MATCH(295,$V$2:$V$362,0),4),"")</f>
        <v>Надульники и глушители</v>
      </c>
      <c r="I299" s="46"/>
      <c r="L299" s="41">
        <f>'Бартер обвесы'!A787</f>
        <v>113</v>
      </c>
      <c r="M299" s="41" t="str">
        <f>'Бартер обвесы'!C787</f>
        <v>Прицел оптический 1П77</v>
      </c>
      <c r="N299" s="41" t="str">
        <f>'Бартер обвесы'!D787</f>
        <v>Новичок</v>
      </c>
      <c r="O299" s="41" t="str">
        <f>'Бартер обвесы'!E787</f>
        <v>Прицелы</v>
      </c>
      <c r="P299" s="41" t="str">
        <f t="shared" si="14"/>
        <v>Обвесы</v>
      </c>
      <c r="Q299" s="42">
        <f>IF(ISNUMBER('Бартер обвесы'!G792), 'Бартер обвесы'!G792, "")</f>
        <v>2370</v>
      </c>
      <c r="R299" s="43">
        <v>1</v>
      </c>
      <c r="S299" s="41"/>
      <c r="T299" s="41" t="s">
        <v>765</v>
      </c>
      <c r="U299" s="44">
        <f t="shared" si="13"/>
        <v>1</v>
      </c>
      <c r="V299" s="44">
        <f>IF(U299=1,SUM($U$2:U299),"")</f>
        <v>298</v>
      </c>
    </row>
    <row r="300" spans="2:22">
      <c r="B300" s="47">
        <f>IFERROR(IF(MATCH(296,$V$2:$V$362,0)&gt;0,296,""),"")</f>
        <v>296</v>
      </c>
      <c r="C300" s="7" t="str">
        <f>IFERROR(INDEX($L$2:$Q$362,MATCH(296,$V$2:$V$362,0),2),"")</f>
        <v>Resistance Armament Compensator</v>
      </c>
      <c r="D300" s="51" t="str">
        <f>IFERROR(INDEX($L$2:$Q$362,MATCH(296,$V$2:$V$362,0),3),"")</f>
        <v>Новичок</v>
      </c>
      <c r="E300" s="47" t="str">
        <f>IFERROR(INDEX($L$2:$Q$362,MATCH(296,$V$2:$V$362,0),4),"")</f>
        <v>Надульники и глушители</v>
      </c>
      <c r="I300" s="46"/>
      <c r="L300" s="41">
        <f>'Бартер обвесы'!A794</f>
        <v>114</v>
      </c>
      <c r="M300" s="41" t="str">
        <f>'Бартер обвесы'!C794</f>
        <v>Прицел оптический Trijicon ACOG</v>
      </c>
      <c r="N300" s="41" t="str">
        <f>'Бартер обвесы'!D794</f>
        <v>Новичок</v>
      </c>
      <c r="O300" s="41" t="str">
        <f>'Бартер обвесы'!E794</f>
        <v>Прицелы</v>
      </c>
      <c r="P300" s="41" t="str">
        <f t="shared" si="14"/>
        <v>Обвесы</v>
      </c>
      <c r="Q300" s="42">
        <f>IF(ISNUMBER('Бартер обвесы'!G799), 'Бартер обвесы'!G799, "")</f>
        <v>2370</v>
      </c>
      <c r="R300" s="43">
        <v>1</v>
      </c>
      <c r="S300" s="41"/>
      <c r="T300" s="41" t="s">
        <v>766</v>
      </c>
      <c r="U300" s="44">
        <f t="shared" si="13"/>
        <v>1</v>
      </c>
      <c r="V300" s="44">
        <f>IF(U300=1,SUM($U$2:U300),"")</f>
        <v>299</v>
      </c>
    </row>
    <row r="301" spans="2:22">
      <c r="B301" s="47">
        <f>IFERROR(IF(MATCH(297,$V$2:$V$362,0)&gt;0,297,""),"")</f>
        <v>297</v>
      </c>
      <c r="C301" s="7" t="str">
        <f>IFERROR(INDEX($L$2:$Q$362,MATCH(297,$V$2:$V$362,0),2),"")</f>
        <v>VR-09</v>
      </c>
      <c r="D301" s="51" t="str">
        <f>IFERROR(INDEX($L$2:$Q$362,MATCH(297,$V$2:$V$362,0),3),"")</f>
        <v>Новичок</v>
      </c>
      <c r="E301" s="47" t="str">
        <f>IFERROR(INDEX($L$2:$Q$362,MATCH(297,$V$2:$V$362,0),4),"")</f>
        <v>Надульники и глушители</v>
      </c>
      <c r="I301" s="46"/>
      <c r="L301" s="41">
        <f>'Бартер обвесы'!A801</f>
        <v>115</v>
      </c>
      <c r="M301" s="41" t="str">
        <f>'Бартер обвесы'!C801</f>
        <v>Направляющая RIS для дробовиков</v>
      </c>
      <c r="N301" s="41" t="str">
        <f>'Бартер обвесы'!D801</f>
        <v>Новичок</v>
      </c>
      <c r="O301" s="41" t="str">
        <f>'Бартер обвесы'!E801</f>
        <v>Цевья</v>
      </c>
      <c r="P301" s="41" t="str">
        <f t="shared" si="14"/>
        <v>Обвесы</v>
      </c>
      <c r="Q301" s="42">
        <f>IF(ISNUMBER('Бартер обвесы'!G806), 'Бартер обвесы'!G806, "")</f>
        <v>2140</v>
      </c>
      <c r="R301" s="43">
        <v>1</v>
      </c>
      <c r="S301" s="41"/>
      <c r="T301" s="41" t="s">
        <v>767</v>
      </c>
      <c r="U301" s="44">
        <f t="shared" si="13"/>
        <v>1</v>
      </c>
      <c r="V301" s="44">
        <f>IF(U301=1,SUM($U$2:U301),"")</f>
        <v>300</v>
      </c>
    </row>
    <row r="302" spans="2:22">
      <c r="B302" s="47">
        <f>IFERROR(IF(MATCH(298,$V$2:$V$362,0)&gt;0,298,""),"")</f>
        <v>298</v>
      </c>
      <c r="C302" s="7" t="str">
        <f>IFERROR(INDEX($L$2:$Q$362,MATCH(298,$V$2:$V$362,0),2),"")</f>
        <v>Прицел оптический 1П77</v>
      </c>
      <c r="D302" s="51" t="str">
        <f>IFERROR(INDEX($L$2:$Q$362,MATCH(298,$V$2:$V$362,0),3),"")</f>
        <v>Новичок</v>
      </c>
      <c r="E302" s="47" t="str">
        <f>IFERROR(INDEX($L$2:$Q$362,MATCH(298,$V$2:$V$362,0),4),"")</f>
        <v>Прицелы</v>
      </c>
      <c r="I302" s="46"/>
      <c r="L302" s="41">
        <f>'Бартер обвесы'!A808</f>
        <v>116</v>
      </c>
      <c r="M302" s="41" t="str">
        <f>'Бартер обвесы'!C808</f>
        <v>РК-5</v>
      </c>
      <c r="N302" s="41" t="str">
        <f>'Бартер обвесы'!D808</f>
        <v>Новичок</v>
      </c>
      <c r="O302" s="41" t="str">
        <f>'Бартер обвесы'!E808</f>
        <v>Рукоятки</v>
      </c>
      <c r="P302" s="41" t="str">
        <f t="shared" si="14"/>
        <v>Обвесы</v>
      </c>
      <c r="Q302" s="42">
        <f>IF(ISNUMBER('Бартер обвесы'!G813), 'Бартер обвесы'!G813, "")</f>
        <v>1900</v>
      </c>
      <c r="R302" s="43">
        <v>1</v>
      </c>
      <c r="S302" s="41"/>
      <c r="T302" s="41" t="s">
        <v>768</v>
      </c>
      <c r="U302" s="44">
        <f t="shared" si="13"/>
        <v>1</v>
      </c>
      <c r="V302" s="44">
        <f>IF(U302=1,SUM($U$2:U302),"")</f>
        <v>301</v>
      </c>
    </row>
    <row r="303" spans="2:22">
      <c r="B303" s="47">
        <f>IFERROR(IF(MATCH(299,$V$2:$V$362,0)&gt;0,299,""),"")</f>
        <v>299</v>
      </c>
      <c r="C303" s="7" t="str">
        <f>IFERROR(INDEX($L$2:$Q$362,MATCH(299,$V$2:$V$362,0),2),"")</f>
        <v>Прицел оптический Trijicon ACOG</v>
      </c>
      <c r="D303" s="51" t="str">
        <f>IFERROR(INDEX($L$2:$Q$362,MATCH(299,$V$2:$V$362,0),3),"")</f>
        <v>Новичок</v>
      </c>
      <c r="E303" s="47" t="str">
        <f>IFERROR(INDEX($L$2:$Q$362,MATCH(299,$V$2:$V$362,0),4),"")</f>
        <v>Прицелы</v>
      </c>
      <c r="I303" s="46"/>
      <c r="L303" s="41">
        <f>'Бартер обвесы'!A815</f>
        <v>117</v>
      </c>
      <c r="M303" s="41" t="str">
        <f>'Бартер обвесы'!C815</f>
        <v>Рукоять переноса огня FMA DARK EARTH</v>
      </c>
      <c r="N303" s="41" t="str">
        <f>'Бартер обвесы'!D815</f>
        <v>Новичок</v>
      </c>
      <c r="O303" s="41" t="str">
        <f>'Бартер обвесы'!E815</f>
        <v>Рукоятки</v>
      </c>
      <c r="P303" s="41" t="str">
        <f t="shared" si="14"/>
        <v>Обвесы</v>
      </c>
      <c r="Q303" s="42">
        <f>IF(ISNUMBER('Бартер обвесы'!G820), 'Бартер обвесы'!G820, "")</f>
        <v>1900</v>
      </c>
      <c r="R303" s="43">
        <v>1</v>
      </c>
      <c r="S303" s="41"/>
      <c r="T303" s="41" t="s">
        <v>769</v>
      </c>
      <c r="U303" s="44">
        <f t="shared" si="13"/>
        <v>1</v>
      </c>
      <c r="V303" s="44">
        <f>IF(U303=1,SUM($U$2:U303),"")</f>
        <v>302</v>
      </c>
    </row>
    <row r="304" spans="2:22">
      <c r="B304" s="47">
        <f>IFERROR(IF(MATCH(300,$V$2:$V$362,0)&gt;0,300,""),"")</f>
        <v>300</v>
      </c>
      <c r="C304" s="7" t="str">
        <f>IFERROR(INDEX($L$2:$Q$362,MATCH(300,$V$2:$V$362,0),2),"")</f>
        <v>Направляющая RIS для дробовиков</v>
      </c>
      <c r="D304" s="51" t="str">
        <f>IFERROR(INDEX($L$2:$Q$362,MATCH(300,$V$2:$V$362,0),3),"")</f>
        <v>Новичок</v>
      </c>
      <c r="E304" s="47" t="str">
        <f>IFERROR(INDEX($L$2:$Q$362,MATCH(300,$V$2:$V$362,0),4),"")</f>
        <v>Цевья</v>
      </c>
      <c r="I304" s="46"/>
      <c r="L304" s="41">
        <f>'Бартер обвесы'!A822</f>
        <v>118</v>
      </c>
      <c r="M304" s="41" t="str">
        <f>'Бартер обвесы'!C822</f>
        <v>Тактическая рукоятка FMA TD Grip</v>
      </c>
      <c r="N304" s="41" t="str">
        <f>'Бартер обвесы'!D822</f>
        <v>Новичок</v>
      </c>
      <c r="O304" s="41" t="str">
        <f>'Бартер обвесы'!E822</f>
        <v>Рукоятки</v>
      </c>
      <c r="P304" s="41" t="str">
        <f t="shared" si="14"/>
        <v>Обвесы</v>
      </c>
      <c r="Q304" s="42">
        <f>IF(ISNUMBER('Бартер обвесы'!G827), 'Бартер обвесы'!G827, "")</f>
        <v>1900</v>
      </c>
      <c r="R304" s="43">
        <v>1</v>
      </c>
      <c r="S304" s="41"/>
      <c r="T304" s="41" t="s">
        <v>770</v>
      </c>
      <c r="U304" s="44">
        <f t="shared" si="13"/>
        <v>1</v>
      </c>
      <c r="V304" s="44">
        <f>IF(U304=1,SUM($U$2:U304),"")</f>
        <v>303</v>
      </c>
    </row>
    <row r="305" spans="2:22">
      <c r="B305" s="47">
        <f>IFERROR(IF(MATCH(301,$V$2:$V$362,0)&gt;0,301,""),"")</f>
        <v>301</v>
      </c>
      <c r="C305" s="7" t="str">
        <f>IFERROR(INDEX($L$2:$Q$362,MATCH(301,$V$2:$V$362,0),2),"")</f>
        <v>РК-5</v>
      </c>
      <c r="D305" s="51" t="str">
        <f>IFERROR(INDEX($L$2:$Q$362,MATCH(301,$V$2:$V$362,0),3),"")</f>
        <v>Новичок</v>
      </c>
      <c r="E305" s="47" t="str">
        <f>IFERROR(INDEX($L$2:$Q$362,MATCH(301,$V$2:$V$362,0),4),"")</f>
        <v>Рукоятки</v>
      </c>
      <c r="I305" s="46"/>
      <c r="L305" s="41">
        <f>'Бартер обвесы'!A829</f>
        <v>119</v>
      </c>
      <c r="M305" s="41" t="str">
        <f>'Бартер обвесы'!C829</f>
        <v>HQ ISSUE Mini Laser Sight (зеленый лазер)</v>
      </c>
      <c r="N305" s="41" t="str">
        <f>'Бартер обвесы'!D829</f>
        <v>Новичок</v>
      </c>
      <c r="O305" s="41" t="str">
        <f>'Бартер обвесы'!E829</f>
        <v>Другое</v>
      </c>
      <c r="P305" s="41" t="str">
        <f t="shared" si="14"/>
        <v>Обвесы</v>
      </c>
      <c r="Q305" s="42">
        <f>IF(ISNUMBER('Бартер обвесы'!G834), 'Бартер обвесы'!G834, "")</f>
        <v>1920</v>
      </c>
      <c r="R305" s="43">
        <v>1</v>
      </c>
      <c r="S305" s="41"/>
      <c r="T305" s="41" t="s">
        <v>771</v>
      </c>
      <c r="U305" s="44">
        <f t="shared" si="13"/>
        <v>1</v>
      </c>
      <c r="V305" s="44">
        <f>IF(U305=1,SUM($U$2:U305),"")</f>
        <v>304</v>
      </c>
    </row>
    <row r="306" spans="2:22">
      <c r="B306" s="47">
        <f>IFERROR(IF(MATCH(302,$V$2:$V$362,0)&gt;0,302,""),"")</f>
        <v>302</v>
      </c>
      <c r="C306" s="7" t="str">
        <f>IFERROR(INDEX($L$2:$Q$362,MATCH(302,$V$2:$V$362,0),2),"")</f>
        <v>Рукоять переноса огня FMA DARK EARTH</v>
      </c>
      <c r="D306" s="51" t="str">
        <f>IFERROR(INDEX($L$2:$Q$362,MATCH(302,$V$2:$V$362,0),3),"")</f>
        <v>Новичок</v>
      </c>
      <c r="E306" s="47" t="str">
        <f>IFERROR(INDEX($L$2:$Q$362,MATCH(302,$V$2:$V$362,0),4),"")</f>
        <v>Рукоятки</v>
      </c>
      <c r="I306" s="46"/>
      <c r="L306" s="41">
        <f>'Бартер обвесы'!A836</f>
        <v>120</v>
      </c>
      <c r="M306" s="41" t="str">
        <f>'Бартер обвесы'!C836</f>
        <v>Прицел коллиматорный Trijicon</v>
      </c>
      <c r="N306" s="41" t="str">
        <f>'Бартер обвесы'!D836</f>
        <v>Новичок</v>
      </c>
      <c r="O306" s="41" t="str">
        <f>'Бартер обвесы'!E836</f>
        <v>Прицелы</v>
      </c>
      <c r="P306" s="41" t="str">
        <f t="shared" si="14"/>
        <v>Обвесы</v>
      </c>
      <c r="Q306" s="42">
        <f>IF(ISNUMBER('Бартер обвесы'!G841), 'Бартер обвесы'!G841, "")</f>
        <v>1910</v>
      </c>
      <c r="R306" s="43">
        <v>1</v>
      </c>
      <c r="S306" s="41"/>
      <c r="T306" s="41" t="s">
        <v>772</v>
      </c>
      <c r="U306" s="44">
        <f t="shared" si="13"/>
        <v>1</v>
      </c>
      <c r="V306" s="44">
        <f>IF(U306=1,SUM($U$2:U306),"")</f>
        <v>305</v>
      </c>
    </row>
    <row r="307" spans="2:22">
      <c r="B307" s="47">
        <f>IFERROR(IF(MATCH(303,$V$2:$V$362,0)&gt;0,303,""),"")</f>
        <v>303</v>
      </c>
      <c r="C307" s="7" t="str">
        <f>IFERROR(INDEX($L$2:$Q$362,MATCH(303,$V$2:$V$362,0),2),"")</f>
        <v>Тактическая рукоятка FMA TD Grip</v>
      </c>
      <c r="D307" s="51" t="str">
        <f>IFERROR(INDEX($L$2:$Q$362,MATCH(303,$V$2:$V$362,0),3),"")</f>
        <v>Новичок</v>
      </c>
      <c r="E307" s="47" t="str">
        <f>IFERROR(INDEX($L$2:$Q$362,MATCH(303,$V$2:$V$362,0),4),"")</f>
        <v>Рукоятки</v>
      </c>
      <c r="I307" s="46"/>
      <c r="L307" s="41">
        <f>'Бартер обвесы'!A843</f>
        <v>121</v>
      </c>
      <c r="M307" s="41" t="str">
        <f>'Бартер обвесы'!C843</f>
        <v>Прицел коллиматорный Trijicon</v>
      </c>
      <c r="N307" s="41" t="str">
        <f>'Бартер обвесы'!D843</f>
        <v>Новичок</v>
      </c>
      <c r="O307" s="41" t="str">
        <f>'Бартер обвесы'!E843</f>
        <v>Прицелы</v>
      </c>
      <c r="P307" s="41" t="str">
        <f t="shared" si="14"/>
        <v>Обвесы</v>
      </c>
      <c r="Q307" s="42">
        <f>IF(ISNUMBER('Бартер обвесы'!G848), 'Бартер обвесы'!G848, "")</f>
        <v>1910</v>
      </c>
      <c r="R307" s="43">
        <v>1</v>
      </c>
      <c r="S307" s="41"/>
      <c r="T307" s="41" t="s">
        <v>773</v>
      </c>
      <c r="U307" s="44">
        <f t="shared" si="13"/>
        <v>1</v>
      </c>
      <c r="V307" s="44">
        <f>IF(U307=1,SUM($U$2:U307),"")</f>
        <v>306</v>
      </c>
    </row>
    <row r="308" spans="2:22">
      <c r="B308" s="47">
        <f>IFERROR(IF(MATCH(304,$V$2:$V$362,0)&gt;0,304,""),"")</f>
        <v>304</v>
      </c>
      <c r="C308" s="7" t="str">
        <f>IFERROR(INDEX($L$2:$Q$362,MATCH(304,$V$2:$V$362,0),2),"")</f>
        <v>HQ ISSUE Mini Laser Sight (зеленый лазер)</v>
      </c>
      <c r="D308" s="51" t="str">
        <f>IFERROR(INDEX($L$2:$Q$362,MATCH(304,$V$2:$V$362,0),3),"")</f>
        <v>Новичок</v>
      </c>
      <c r="E308" s="47" t="str">
        <f>IFERROR(INDEX($L$2:$Q$362,MATCH(304,$V$2:$V$362,0),4),"")</f>
        <v>Другое</v>
      </c>
      <c r="I308" s="46"/>
      <c r="L308" s="41">
        <f>'Бартер обвесы'!A850</f>
        <v>122</v>
      </c>
      <c r="M308" s="41" t="str">
        <f>'Бартер обвесы'!C850</f>
        <v>Прицел оптический ПСО</v>
      </c>
      <c r="N308" s="41" t="str">
        <f>'Бартер обвесы'!D850</f>
        <v>Новичок</v>
      </c>
      <c r="O308" s="41" t="str">
        <f>'Бартер обвесы'!E850</f>
        <v>Прицелы</v>
      </c>
      <c r="P308" s="41" t="str">
        <f t="shared" si="14"/>
        <v>Обвесы</v>
      </c>
      <c r="Q308" s="42">
        <f>IF(ISNUMBER('Бартер обвесы'!G855), 'Бартер обвесы'!G855, "")</f>
        <v>1910</v>
      </c>
      <c r="R308" s="43">
        <v>1</v>
      </c>
      <c r="S308" s="41"/>
      <c r="T308" s="41" t="s">
        <v>774</v>
      </c>
      <c r="U308" s="44">
        <f t="shared" si="13"/>
        <v>1</v>
      </c>
      <c r="V308" s="44">
        <f>IF(U308=1,SUM($U$2:U308),"")</f>
        <v>307</v>
      </c>
    </row>
    <row r="309" spans="2:22">
      <c r="B309" s="47">
        <f>IFERROR(IF(MATCH(305,$V$2:$V$362,0)&gt;0,305,""),"")</f>
        <v>305</v>
      </c>
      <c r="C309" s="7" t="str">
        <f>IFERROR(INDEX($L$2:$Q$362,MATCH(305,$V$2:$V$362,0),2),"")</f>
        <v>Прицел коллиматорный Trijicon</v>
      </c>
      <c r="D309" s="51" t="str">
        <f>IFERROR(INDEX($L$2:$Q$362,MATCH(305,$V$2:$V$362,0),3),"")</f>
        <v>Новичок</v>
      </c>
      <c r="E309" s="47" t="str">
        <f>IFERROR(INDEX($L$2:$Q$362,MATCH(305,$V$2:$V$362,0),4),"")</f>
        <v>Прицелы</v>
      </c>
      <c r="I309" s="46"/>
      <c r="L309" s="41">
        <f>'Бартер обвесы'!A857</f>
        <v>123</v>
      </c>
      <c r="M309" s="41" t="str">
        <f>'Бартер обвесы'!C857</f>
        <v>Прицел оптический Leupold</v>
      </c>
      <c r="N309" s="41" t="str">
        <f>'Бартер обвесы'!D857</f>
        <v>Новичок</v>
      </c>
      <c r="O309" s="41" t="str">
        <f>'Бартер обвесы'!E857</f>
        <v>Прицелы</v>
      </c>
      <c r="P309" s="41" t="str">
        <f t="shared" si="14"/>
        <v>Обвесы</v>
      </c>
      <c r="Q309" s="42">
        <f>IF(ISNUMBER('Бартер обвесы'!G862), 'Бартер обвесы'!G862, "")</f>
        <v>1910</v>
      </c>
      <c r="R309" s="43">
        <v>1</v>
      </c>
      <c r="S309" s="41"/>
      <c r="T309" s="41" t="s">
        <v>775</v>
      </c>
      <c r="U309" s="44">
        <f t="shared" si="13"/>
        <v>1</v>
      </c>
      <c r="V309" s="44">
        <f>IF(U309=1,SUM($U$2:U309),"")</f>
        <v>308</v>
      </c>
    </row>
    <row r="310" spans="2:22">
      <c r="B310" s="47">
        <f>IFERROR(IF(MATCH(306,$V$2:$V$362,0)&gt;0,306,""),"")</f>
        <v>306</v>
      </c>
      <c r="C310" s="7" t="str">
        <f>IFERROR(INDEX($L$2:$Q$362,MATCH(306,$V$2:$V$362,0),2),"")</f>
        <v>Прицел коллиматорный Trijicon</v>
      </c>
      <c r="D310" s="51" t="str">
        <f>IFERROR(INDEX($L$2:$Q$362,MATCH(306,$V$2:$V$362,0),3),"")</f>
        <v>Новичок</v>
      </c>
      <c r="E310" s="47" t="str">
        <f>IFERROR(INDEX($L$2:$Q$362,MATCH(306,$V$2:$V$362,0),4),"")</f>
        <v>Прицелы</v>
      </c>
      <c r="I310" s="46"/>
      <c r="L310" s="41">
        <f>'Бартер обвесы'!A864</f>
        <v>124</v>
      </c>
      <c r="M310" s="41" t="str">
        <f>'Бартер обвесы'!C864</f>
        <v>Магазин 5.56 NATO STANAG</v>
      </c>
      <c r="N310" s="41" t="str">
        <f>'Бартер обвесы'!D864</f>
        <v>Новичок</v>
      </c>
      <c r="O310" s="41" t="str">
        <f>'Бартер обвесы'!E864</f>
        <v>Магазины</v>
      </c>
      <c r="P310" s="41" t="str">
        <f t="shared" si="14"/>
        <v>Обвесы</v>
      </c>
      <c r="Q310" s="42">
        <f>IF(ISNUMBER('Бартер обвесы'!G869), 'Бартер обвесы'!G869, "")</f>
        <v>1730</v>
      </c>
      <c r="R310" s="43">
        <v>1</v>
      </c>
      <c r="S310" s="41"/>
      <c r="T310" s="41" t="s">
        <v>776</v>
      </c>
      <c r="U310" s="44">
        <f t="shared" si="13"/>
        <v>1</v>
      </c>
      <c r="V310" s="44">
        <f>IF(U310=1,SUM($U$2:U310),"")</f>
        <v>309</v>
      </c>
    </row>
    <row r="311" spans="2:22">
      <c r="B311" s="47">
        <f>IFERROR(IF(MATCH(307,$V$2:$V$362,0)&gt;0,307,""),"")</f>
        <v>307</v>
      </c>
      <c r="C311" s="7" t="str">
        <f>IFERROR(INDEX($L$2:$Q$362,MATCH(307,$V$2:$V$362,0),2),"")</f>
        <v>Прицел оптический ПСО</v>
      </c>
      <c r="D311" s="51" t="str">
        <f>IFERROR(INDEX($L$2:$Q$362,MATCH(307,$V$2:$V$362,0),3),"")</f>
        <v>Новичок</v>
      </c>
      <c r="E311" s="47" t="str">
        <f>IFERROR(INDEX($L$2:$Q$362,MATCH(307,$V$2:$V$362,0),4),"")</f>
        <v>Прицелы</v>
      </c>
      <c r="I311" s="46"/>
      <c r="L311" s="41">
        <f>'Бартер обвесы'!A871</f>
        <v>125</v>
      </c>
      <c r="M311" s="41" t="str">
        <f>'Бартер обвесы'!C871</f>
        <v>Прицел коллиматорный BSA Reflex</v>
      </c>
      <c r="N311" s="41" t="str">
        <f>'Бартер обвесы'!D871</f>
        <v>Новичок</v>
      </c>
      <c r="O311" s="41" t="str">
        <f>'Бартер обвесы'!E871</f>
        <v>Прицелы</v>
      </c>
      <c r="P311" s="41" t="str">
        <f t="shared" si="14"/>
        <v>Обвесы</v>
      </c>
      <c r="Q311" s="42">
        <f>IF(ISNUMBER('Бартер обвесы'!G876), 'Бартер обвесы'!G876, "")</f>
        <v>1590</v>
      </c>
      <c r="R311" s="43">
        <v>1</v>
      </c>
      <c r="S311" s="41"/>
      <c r="T311" s="41" t="s">
        <v>777</v>
      </c>
      <c r="U311" s="44">
        <f t="shared" si="13"/>
        <v>1</v>
      </c>
      <c r="V311" s="44">
        <f>IF(U311=1,SUM($U$2:U311),"")</f>
        <v>310</v>
      </c>
    </row>
    <row r="312" spans="2:22">
      <c r="B312" s="47">
        <f>IFERROR(IF(MATCH(308,$V$2:$V$362,0)&gt;0,308,""),"")</f>
        <v>308</v>
      </c>
      <c r="C312" s="7" t="str">
        <f>IFERROR(INDEX($L$2:$Q$362,MATCH(308,$V$2:$V$362,0),2),"")</f>
        <v>Прицел оптический Leupold</v>
      </c>
      <c r="D312" s="51" t="str">
        <f>IFERROR(INDEX($L$2:$Q$362,MATCH(308,$V$2:$V$362,0),3),"")</f>
        <v>Новичок</v>
      </c>
      <c r="E312" s="47" t="str">
        <f>IFERROR(INDEX($L$2:$Q$362,MATCH(308,$V$2:$V$362,0),4),"")</f>
        <v>Прицелы</v>
      </c>
      <c r="I312" s="46"/>
      <c r="L312" s="41">
        <f>'Бартер обвесы'!A878</f>
        <v>126</v>
      </c>
      <c r="M312" s="41" t="str">
        <f>'Бартер обвесы'!C878</f>
        <v>Прицел коллиматорный LaRue</v>
      </c>
      <c r="N312" s="41" t="str">
        <f>'Бартер обвесы'!D878</f>
        <v>Новичок</v>
      </c>
      <c r="O312" s="41" t="str">
        <f>'Бартер обвесы'!E878</f>
        <v>Прицелы</v>
      </c>
      <c r="P312" s="41" t="str">
        <f t="shared" si="14"/>
        <v>Обвесы</v>
      </c>
      <c r="Q312" s="42">
        <f>IF(ISNUMBER('Бартер обвесы'!G883), 'Бартер обвесы'!G883, "")</f>
        <v>1590</v>
      </c>
      <c r="R312" s="43">
        <v>1</v>
      </c>
      <c r="S312" s="41"/>
      <c r="T312" s="41" t="s">
        <v>778</v>
      </c>
      <c r="U312" s="44">
        <f t="shared" si="13"/>
        <v>1</v>
      </c>
      <c r="V312" s="44">
        <f>IF(U312=1,SUM($U$2:U312),"")</f>
        <v>311</v>
      </c>
    </row>
    <row r="313" spans="2:22">
      <c r="B313" s="47">
        <f>IFERROR(IF(MATCH(309,$V$2:$V$362,0)&gt;0,309,""),"")</f>
        <v>309</v>
      </c>
      <c r="C313" s="7" t="str">
        <f>IFERROR(INDEX($L$2:$Q$362,MATCH(309,$V$2:$V$362,0),2),"")</f>
        <v>Магазин 5.56 NATO STANAG</v>
      </c>
      <c r="D313" s="51" t="str">
        <f>IFERROR(INDEX($L$2:$Q$362,MATCH(309,$V$2:$V$362,0),3),"")</f>
        <v>Новичок</v>
      </c>
      <c r="E313" s="47" t="str">
        <f>IFERROR(INDEX($L$2:$Q$362,MATCH(309,$V$2:$V$362,0),4),"")</f>
        <v>Магазины</v>
      </c>
      <c r="I313" s="46"/>
      <c r="L313" s="41">
        <f>'Бартер обвесы'!A885</f>
        <v>127</v>
      </c>
      <c r="M313" s="41" t="str">
        <f>'Бартер обвесы'!C885</f>
        <v>Прицел оптический SUSAT</v>
      </c>
      <c r="N313" s="41" t="str">
        <f>'Бартер обвесы'!D885</f>
        <v>Новичок</v>
      </c>
      <c r="O313" s="41" t="str">
        <f>'Бартер обвесы'!E885</f>
        <v>Прицелы</v>
      </c>
      <c r="P313" s="41" t="str">
        <f t="shared" si="14"/>
        <v>Обвесы</v>
      </c>
      <c r="Q313" s="42">
        <f>IF(ISNUMBER('Бартер обвесы'!G890), 'Бартер обвесы'!G890, "")</f>
        <v>1590</v>
      </c>
      <c r="R313" s="43">
        <v>1</v>
      </c>
      <c r="S313" s="41"/>
      <c r="T313" s="41" t="s">
        <v>779</v>
      </c>
      <c r="U313" s="44">
        <f t="shared" si="13"/>
        <v>1</v>
      </c>
      <c r="V313" s="44">
        <f>IF(U313=1,SUM($U$2:U313),"")</f>
        <v>312</v>
      </c>
    </row>
    <row r="314" spans="2:22">
      <c r="B314" s="47">
        <f>IFERROR(IF(MATCH(310,$V$2:$V$362,0)&gt;0,310,""),"")</f>
        <v>310</v>
      </c>
      <c r="C314" s="7" t="str">
        <f>IFERROR(INDEX($L$2:$Q$362,MATCH(310,$V$2:$V$362,0),2),"")</f>
        <v>Прицел коллиматорный BSA Reflex</v>
      </c>
      <c r="D314" s="51" t="str">
        <f>IFERROR(INDEX($L$2:$Q$362,MATCH(310,$V$2:$V$362,0),3),"")</f>
        <v>Новичок</v>
      </c>
      <c r="E314" s="47" t="str">
        <f>IFERROR(INDEX($L$2:$Q$362,MATCH(310,$V$2:$V$362,0),4),"")</f>
        <v>Прицелы</v>
      </c>
      <c r="I314" s="46"/>
      <c r="L314" s="41">
        <f>'Бартер обвесы'!A892</f>
        <v>128</v>
      </c>
      <c r="M314" s="41" t="str">
        <f>'Бартер обвесы'!C892</f>
        <v>Прицел широкоугольный «Ракурс»</v>
      </c>
      <c r="N314" s="41" t="str">
        <f>'Бартер обвесы'!D892</f>
        <v>Новичок</v>
      </c>
      <c r="O314" s="41" t="str">
        <f>'Бартер обвесы'!E892</f>
        <v>Прицелы</v>
      </c>
      <c r="P314" s="41" t="str">
        <f t="shared" si="14"/>
        <v>Обвесы</v>
      </c>
      <c r="Q314" s="42">
        <f>IF(ISNUMBER('Бартер обвесы'!G897), 'Бартер обвесы'!G897, "")</f>
        <v>1590</v>
      </c>
      <c r="R314" s="43">
        <v>1</v>
      </c>
      <c r="S314" s="41"/>
      <c r="T314" s="41" t="s">
        <v>780</v>
      </c>
      <c r="U314" s="44">
        <f t="shared" si="13"/>
        <v>1</v>
      </c>
      <c r="V314" s="44">
        <f>IF(U314=1,SUM($U$2:U314),"")</f>
        <v>313</v>
      </c>
    </row>
    <row r="315" spans="2:22">
      <c r="B315" s="47">
        <f>IFERROR(IF(MATCH(311,$V$2:$V$362,0)&gt;0,311,""),"")</f>
        <v>311</v>
      </c>
      <c r="C315" s="7" t="str">
        <f>IFERROR(INDEX($L$2:$Q$362,MATCH(311,$V$2:$V$362,0),2),"")</f>
        <v>Прицел коллиматорный LaRue</v>
      </c>
      <c r="D315" s="51" t="str">
        <f>IFERROR(INDEX($L$2:$Q$362,MATCH(311,$V$2:$V$362,0),3),"")</f>
        <v>Новичок</v>
      </c>
      <c r="E315" s="47" t="str">
        <f>IFERROR(INDEX($L$2:$Q$362,MATCH(311,$V$2:$V$362,0),4),"")</f>
        <v>Прицелы</v>
      </c>
      <c r="I315" s="46"/>
      <c r="L315" s="41">
        <f>'Бартер обвесы'!A899</f>
        <v>129</v>
      </c>
      <c r="M315" s="41" t="str">
        <f>'Бартер обвесы'!C899</f>
        <v>Увеличенный магазин Форт-12</v>
      </c>
      <c r="N315" s="41" t="str">
        <f>'Бартер обвесы'!D899</f>
        <v>Новичок</v>
      </c>
      <c r="O315" s="41" t="str">
        <f>'Бартер обвесы'!E899</f>
        <v>Магазины</v>
      </c>
      <c r="P315" s="41" t="str">
        <f t="shared" ref="P315:P323" si="15">"Обвесы"</f>
        <v>Обвесы</v>
      </c>
      <c r="Q315" s="42">
        <f>IF(ISNUMBER('Бартер обвесы'!G904), 'Бартер обвесы'!G904, "")</f>
        <v>1520</v>
      </c>
      <c r="R315" s="43">
        <v>2</v>
      </c>
      <c r="S315" s="41" t="s">
        <v>385</v>
      </c>
      <c r="T315" s="41" t="s">
        <v>781</v>
      </c>
      <c r="U315" s="44">
        <f t="shared" si="13"/>
        <v>1</v>
      </c>
      <c r="V315" s="44">
        <f>IF(U315=1,SUM($U$2:U315),"")</f>
        <v>314</v>
      </c>
    </row>
    <row r="316" spans="2:22">
      <c r="B316" s="47">
        <f>IFERROR(IF(MATCH(312,$V$2:$V$362,0)&gt;0,312,""),"")</f>
        <v>312</v>
      </c>
      <c r="C316" s="7" t="str">
        <f>IFERROR(INDEX($L$2:$Q$362,MATCH(312,$V$2:$V$362,0),2),"")</f>
        <v>Прицел оптический SUSAT</v>
      </c>
      <c r="D316" s="51" t="str">
        <f>IFERROR(INDEX($L$2:$Q$362,MATCH(312,$V$2:$V$362,0),3),"")</f>
        <v>Новичок</v>
      </c>
      <c r="E316" s="47" t="str">
        <f>IFERROR(INDEX($L$2:$Q$362,MATCH(312,$V$2:$V$362,0),4),"")</f>
        <v>Прицелы</v>
      </c>
      <c r="I316" s="46"/>
      <c r="L316" s="41">
        <f>'Бартер обвесы'!A906</f>
        <v>130</v>
      </c>
      <c r="M316" s="41" t="str">
        <f>'Бартер обвесы'!C906</f>
        <v>Планка с базой Пикатинни</v>
      </c>
      <c r="N316" s="41" t="str">
        <f>'Бартер обвесы'!D906</f>
        <v>Новичок</v>
      </c>
      <c r="O316" s="41" t="str">
        <f>'Бартер обвесы'!E906</f>
        <v>Цевья</v>
      </c>
      <c r="P316" s="41" t="str">
        <f t="shared" si="15"/>
        <v>Обвесы</v>
      </c>
      <c r="Q316" s="42">
        <f>IF(ISNUMBER('Бартер обвесы'!G911), 'Бартер обвесы'!G911, "")</f>
        <v>1660</v>
      </c>
      <c r="R316" s="43">
        <v>1</v>
      </c>
      <c r="S316" s="41"/>
      <c r="T316" s="41" t="s">
        <v>782</v>
      </c>
      <c r="U316" s="44">
        <f t="shared" si="13"/>
        <v>1</v>
      </c>
      <c r="V316" s="44">
        <f>IF(U316=1,SUM($U$2:U316),"")</f>
        <v>315</v>
      </c>
    </row>
    <row r="317" spans="2:22">
      <c r="B317" s="47">
        <f>IFERROR(IF(MATCH(313,$V$2:$V$362,0)&gt;0,313,""),"")</f>
        <v>313</v>
      </c>
      <c r="C317" s="7" t="str">
        <f>IFERROR(INDEX($L$2:$Q$362,MATCH(313,$V$2:$V$362,0),2),"")</f>
        <v>Прицел широкоугольный «Ракурс»</v>
      </c>
      <c r="D317" s="51" t="str">
        <f>IFERROR(INDEX($L$2:$Q$362,MATCH(313,$V$2:$V$362,0),3),"")</f>
        <v>Новичок</v>
      </c>
      <c r="E317" s="47" t="str">
        <f>IFERROR(INDEX($L$2:$Q$362,MATCH(313,$V$2:$V$362,0),4),"")</f>
        <v>Прицелы</v>
      </c>
      <c r="I317" s="46"/>
      <c r="L317" s="41">
        <f>'Бартер обвесы'!A913</f>
        <v>131</v>
      </c>
      <c r="M317" s="41" t="str">
        <f>'Бартер обвесы'!C913</f>
        <v>Прицел коллиматорный «Валдай»</v>
      </c>
      <c r="N317" s="41" t="str">
        <f>'Бартер обвесы'!D913</f>
        <v>Новичок</v>
      </c>
      <c r="O317" s="41" t="str">
        <f>'Бартер обвесы'!E913</f>
        <v>Прицелы</v>
      </c>
      <c r="P317" s="41" t="str">
        <f t="shared" si="15"/>
        <v>Обвесы</v>
      </c>
      <c r="Q317" s="42">
        <f>IF(ISNUMBER('Бартер обвесы'!G918), 'Бартер обвесы'!G918, "")</f>
        <v>1420</v>
      </c>
      <c r="R317" s="43">
        <v>1</v>
      </c>
      <c r="S317" s="41"/>
      <c r="T317" s="41" t="s">
        <v>783</v>
      </c>
      <c r="U317" s="44">
        <f t="shared" si="13"/>
        <v>1</v>
      </c>
      <c r="V317" s="44">
        <f>IF(U317=1,SUM($U$2:U317),"")</f>
        <v>316</v>
      </c>
    </row>
    <row r="318" spans="2:22">
      <c r="B318" s="47">
        <f>IFERROR(IF(MATCH(314,$V$2:$V$362,0)&gt;0,314,""),"")</f>
        <v>314</v>
      </c>
      <c r="C318" s="7" t="str">
        <f>IFERROR(INDEX($L$2:$Q$362,MATCH(314,$V$2:$V$362,0),2),"")</f>
        <v>Увеличенный магазин Форт-12</v>
      </c>
      <c r="D318" s="51" t="str">
        <f>IFERROR(INDEX($L$2:$Q$362,MATCH(314,$V$2:$V$362,0),3),"")</f>
        <v>Новичок</v>
      </c>
      <c r="E318" s="47" t="str">
        <f>IFERROR(INDEX($L$2:$Q$362,MATCH(314,$V$2:$V$362,0),4),"")</f>
        <v>Магазины</v>
      </c>
      <c r="I318" s="46"/>
      <c r="L318" s="41">
        <f>'Бартер обвесы'!A920</f>
        <v>132</v>
      </c>
      <c r="M318" s="41" t="str">
        <f>'Бартер обвесы'!C920</f>
        <v>Прицел коллиматорный «Кобра»</v>
      </c>
      <c r="N318" s="41" t="str">
        <f>'Бартер обвесы'!D920</f>
        <v>Новичок</v>
      </c>
      <c r="O318" s="41" t="str">
        <f>'Бартер обвесы'!E920</f>
        <v>Прицелы</v>
      </c>
      <c r="P318" s="41" t="str">
        <f t="shared" si="15"/>
        <v>Обвесы</v>
      </c>
      <c r="Q318" s="42">
        <f>IF(ISNUMBER('Бартер обвесы'!G925), 'Бартер обвесы'!G925, "")</f>
        <v>1420</v>
      </c>
      <c r="R318" s="43">
        <v>1</v>
      </c>
      <c r="S318" s="41"/>
      <c r="T318" s="41" t="s">
        <v>784</v>
      </c>
      <c r="U318" s="44">
        <f t="shared" si="13"/>
        <v>1</v>
      </c>
      <c r="V318" s="44">
        <f>IF(U318=1,SUM($U$2:U318),"")</f>
        <v>317</v>
      </c>
    </row>
    <row r="319" spans="2:22">
      <c r="B319" s="47">
        <f>IFERROR(IF(MATCH(315,$V$2:$V$362,0)&gt;0,315,""),"")</f>
        <v>315</v>
      </c>
      <c r="C319" s="7" t="str">
        <f>IFERROR(INDEX($L$2:$Q$362,MATCH(315,$V$2:$V$362,0),2),"")</f>
        <v>Планка с базой Пикатинни</v>
      </c>
      <c r="D319" s="51" t="str">
        <f>IFERROR(INDEX($L$2:$Q$362,MATCH(315,$V$2:$V$362,0),3),"")</f>
        <v>Новичок</v>
      </c>
      <c r="E319" s="47" t="str">
        <f>IFERROR(INDEX($L$2:$Q$362,MATCH(315,$V$2:$V$362,0),4),"")</f>
        <v>Цевья</v>
      </c>
      <c r="I319" s="46"/>
      <c r="L319" s="41">
        <f>'Бартер обвесы'!A927</f>
        <v>133</v>
      </c>
      <c r="M319" s="41" t="str">
        <f>'Бартер обвесы'!C927</f>
        <v>Прицел коллиматорный EoTech</v>
      </c>
      <c r="N319" s="41" t="str">
        <f>'Бартер обвесы'!D927</f>
        <v>Новичок</v>
      </c>
      <c r="O319" s="41" t="str">
        <f>'Бартер обвесы'!E927</f>
        <v>Прицелы</v>
      </c>
      <c r="P319" s="41" t="str">
        <f t="shared" si="15"/>
        <v>Обвесы</v>
      </c>
      <c r="Q319" s="42">
        <f>IF(ISNUMBER('Бартер обвесы'!G932), 'Бартер обвесы'!G932, "")</f>
        <v>1420</v>
      </c>
      <c r="R319" s="43">
        <v>1</v>
      </c>
      <c r="S319" s="41"/>
      <c r="T319" s="41" t="s">
        <v>785</v>
      </c>
      <c r="U319" s="44">
        <f t="shared" si="13"/>
        <v>1</v>
      </c>
      <c r="V319" s="44">
        <f>IF(U319=1,SUM($U$2:U319),"")</f>
        <v>318</v>
      </c>
    </row>
    <row r="320" spans="2:22">
      <c r="B320" s="47">
        <f>IFERROR(IF(MATCH(316,$V$2:$V$362,0)&gt;0,316,""),"")</f>
        <v>316</v>
      </c>
      <c r="C320" s="7" t="str">
        <f>IFERROR(INDEX($L$2:$Q$362,MATCH(316,$V$2:$V$362,0),2),"")</f>
        <v>Прицел коллиматорный «Валдай»</v>
      </c>
      <c r="D320" s="51" t="str">
        <f>IFERROR(INDEX($L$2:$Q$362,MATCH(316,$V$2:$V$362,0),3),"")</f>
        <v>Новичок</v>
      </c>
      <c r="E320" s="47" t="str">
        <f>IFERROR(INDEX($L$2:$Q$362,MATCH(316,$V$2:$V$362,0),4),"")</f>
        <v>Прицелы</v>
      </c>
      <c r="I320" s="46"/>
      <c r="L320" s="41">
        <f>'Бартер обвесы'!A934</f>
        <v>134</v>
      </c>
      <c r="M320" s="41" t="str">
        <f>'Бартер обвесы'!C934</f>
        <v>Прицел коллиматорный EoTech</v>
      </c>
      <c r="N320" s="41" t="str">
        <f>'Бартер обвесы'!D934</f>
        <v>Новичок</v>
      </c>
      <c r="O320" s="41" t="str">
        <f>'Бартер обвесы'!E934</f>
        <v>Прицелы</v>
      </c>
      <c r="P320" s="41" t="str">
        <f t="shared" si="15"/>
        <v>Обвесы</v>
      </c>
      <c r="Q320" s="42">
        <f>IF(ISNUMBER('Бартер обвесы'!G939), 'Бартер обвесы'!G939, "")</f>
        <v>1420</v>
      </c>
      <c r="R320" s="43">
        <v>1</v>
      </c>
      <c r="S320" s="41"/>
      <c r="T320" s="41" t="s">
        <v>786</v>
      </c>
      <c r="U320" s="44">
        <f t="shared" si="13"/>
        <v>1</v>
      </c>
      <c r="V320" s="44">
        <f>IF(U320=1,SUM($U$2:U320),"")</f>
        <v>319</v>
      </c>
    </row>
    <row r="321" spans="2:22">
      <c r="B321" s="47">
        <f>IFERROR(IF(MATCH(317,$V$2:$V$362,0)&gt;0,317,""),"")</f>
        <v>317</v>
      </c>
      <c r="C321" s="7" t="str">
        <f>IFERROR(INDEX($L$2:$Q$362,MATCH(317,$V$2:$V$362,0),2),"")</f>
        <v>Прицел коллиматорный «Кобра»</v>
      </c>
      <c r="D321" s="51" t="str">
        <f>IFERROR(INDEX($L$2:$Q$362,MATCH(317,$V$2:$V$362,0),3),"")</f>
        <v>Новичок</v>
      </c>
      <c r="E321" s="47" t="str">
        <f>IFERROR(INDEX($L$2:$Q$362,MATCH(317,$V$2:$V$362,0),4),"")</f>
        <v>Прицелы</v>
      </c>
      <c r="I321" s="46"/>
      <c r="L321" s="41">
        <f>'Бартер обвесы'!A941</f>
        <v>135</v>
      </c>
      <c r="M321" s="41" t="str">
        <f>'Бартер обвесы'!C941</f>
        <v>Прицел оптический «Тюльпан»</v>
      </c>
      <c r="N321" s="41" t="str">
        <f>'Бартер обвесы'!D941</f>
        <v>Новичок</v>
      </c>
      <c r="O321" s="41" t="str">
        <f>'Бартер обвесы'!E941</f>
        <v>Прицелы</v>
      </c>
      <c r="P321" s="41" t="str">
        <f t="shared" si="15"/>
        <v>Обвесы</v>
      </c>
      <c r="Q321" s="42">
        <f>IF(ISNUMBER('Бартер обвесы'!G946), 'Бартер обвесы'!G946, "")</f>
        <v>1420</v>
      </c>
      <c r="R321" s="43">
        <v>1</v>
      </c>
      <c r="S321" s="41"/>
      <c r="T321" s="41" t="s">
        <v>787</v>
      </c>
      <c r="U321" s="44">
        <f t="shared" si="13"/>
        <v>1</v>
      </c>
      <c r="V321" s="44">
        <f>IF(U321=1,SUM($U$2:U321),"")</f>
        <v>320</v>
      </c>
    </row>
    <row r="322" spans="2:22">
      <c r="B322" s="47">
        <f>IFERROR(IF(MATCH(318,$V$2:$V$362,0)&gt;0,318,""),"")</f>
        <v>318</v>
      </c>
      <c r="C322" s="7" t="str">
        <f>IFERROR(INDEX($L$2:$Q$362,MATCH(318,$V$2:$V$362,0),2),"")</f>
        <v>Прицел коллиматорный EoTech</v>
      </c>
      <c r="D322" s="51" t="str">
        <f>IFERROR(INDEX($L$2:$Q$362,MATCH(318,$V$2:$V$362,0),3),"")</f>
        <v>Новичок</v>
      </c>
      <c r="E322" s="47" t="str">
        <f>IFERROR(INDEX($L$2:$Q$362,MATCH(318,$V$2:$V$362,0),4),"")</f>
        <v>Прицелы</v>
      </c>
      <c r="I322" s="46"/>
      <c r="L322" s="41">
        <f>'Бартер обвесы'!A948</f>
        <v>136</v>
      </c>
      <c r="M322" s="41" t="str">
        <f>'Бартер обвесы'!C948</f>
        <v>Прицел оптический ПУ для СВТ</v>
      </c>
      <c r="N322" s="41" t="str">
        <f>'Бартер обвесы'!D948</f>
        <v>Отмычка</v>
      </c>
      <c r="O322" s="41" t="str">
        <f>'Бартер обвесы'!E948</f>
        <v>Прицелы</v>
      </c>
      <c r="P322" s="41" t="str">
        <f t="shared" si="15"/>
        <v>Обвесы</v>
      </c>
      <c r="Q322" s="42">
        <f>IF(ISNUMBER('Бартер обвесы'!G953), 'Бартер обвесы'!G953, "")</f>
        <v>528</v>
      </c>
      <c r="R322" s="43">
        <v>1</v>
      </c>
      <c r="S322" s="41"/>
      <c r="T322" s="41" t="s">
        <v>788</v>
      </c>
      <c r="U322" s="44">
        <f t="shared" ref="U322:U362" si="16">IF(IF($D$2="",1,--ISNUMBER(SEARCH($D$2,M322)))*IF($D$3="Все",1,--(O322=$D$3))=1,1,0)</f>
        <v>1</v>
      </c>
      <c r="V322" s="44">
        <f>IF(U322=1,SUM($U$2:U322),"")</f>
        <v>321</v>
      </c>
    </row>
    <row r="323" spans="2:22">
      <c r="B323" s="47">
        <f>IFERROR(IF(MATCH(319,$V$2:$V$362,0)&gt;0,319,""),"")</f>
        <v>319</v>
      </c>
      <c r="C323" s="7" t="str">
        <f>IFERROR(INDEX($L$2:$Q$362,MATCH(319,$V$2:$V$362,0),2),"")</f>
        <v>Прицел коллиматорный EoTech</v>
      </c>
      <c r="D323" s="51" t="str">
        <f>IFERROR(INDEX($L$2:$Q$362,MATCH(319,$V$2:$V$362,0),3),"")</f>
        <v>Новичок</v>
      </c>
      <c r="E323" s="47" t="str">
        <f>IFERROR(INDEX($L$2:$Q$362,MATCH(319,$V$2:$V$362,0),4),"")</f>
        <v>Прицелы</v>
      </c>
      <c r="I323" s="46"/>
      <c r="L323" s="41">
        <f>'Бартер обвесы'!A955</f>
        <v>137</v>
      </c>
      <c r="M323" s="41" t="str">
        <f>'Бартер обвесы'!C955</f>
        <v>Прицел оптический ПУ на боковой кронштейн</v>
      </c>
      <c r="N323" s="41" t="str">
        <f>'Бартер обвесы'!D955</f>
        <v>Отмычка</v>
      </c>
      <c r="O323" s="41" t="str">
        <f>'Бартер обвесы'!E955</f>
        <v>Прицелы</v>
      </c>
      <c r="P323" s="41" t="str">
        <f t="shared" si="15"/>
        <v>Обвесы</v>
      </c>
      <c r="Q323" s="42">
        <f>IF(ISNUMBER('Бартер обвесы'!G960), 'Бартер обвесы'!G960, "")</f>
        <v>528</v>
      </c>
      <c r="R323" s="43">
        <v>1</v>
      </c>
      <c r="S323" s="41"/>
      <c r="T323" s="41" t="s">
        <v>789</v>
      </c>
      <c r="U323" s="44">
        <f t="shared" si="16"/>
        <v>1</v>
      </c>
      <c r="V323" s="44">
        <f>IF(U323=1,SUM($U$2:U323),"")</f>
        <v>322</v>
      </c>
    </row>
    <row r="324" spans="2:22">
      <c r="B324" s="47">
        <f>IFERROR(IF(MATCH(320,$V$2:$V$362,0)&gt;0,320,""),"")</f>
        <v>320</v>
      </c>
      <c r="C324" s="7" t="str">
        <f>IFERROR(INDEX($L$2:$Q$362,MATCH(320,$V$2:$V$362,0),2),"")</f>
        <v>Прицел оптический «Тюльпан»</v>
      </c>
      <c r="D324" s="51" t="str">
        <f>IFERROR(INDEX($L$2:$Q$362,MATCH(320,$V$2:$V$362,0),3),"")</f>
        <v>Новичок</v>
      </c>
      <c r="E324" s="47" t="str">
        <f>IFERROR(INDEX($L$2:$Q$362,MATCH(320,$V$2:$V$362,0),4),"")</f>
        <v>Прицелы</v>
      </c>
      <c r="I324" s="46"/>
      <c r="L324" s="41">
        <f>'Бартер контейнеры и сумки'!A3</f>
        <v>1</v>
      </c>
      <c r="M324" s="41" t="str">
        <f>'Бартер контейнеры и сумки'!C3</f>
        <v>Контейнер «Берлога-6»</v>
      </c>
      <c r="N324" s="41" t="str">
        <f>'Бартер контейнеры и сумки'!D3</f>
        <v>Мастер</v>
      </c>
      <c r="O324" s="41" t="str">
        <f>'Бартер контейнеры и сумки'!E3</f>
        <v>Контейнеры</v>
      </c>
      <c r="P324" s="41" t="str">
        <f t="shared" ref="P324:P362" si="17">"Контейнеры"</f>
        <v>Контейнеры</v>
      </c>
      <c r="Q324" s="42">
        <f>IF(ISNUMBER('Бартер контейнеры и сумки'!G8), 'Бартер контейнеры и сумки'!G8, "")</f>
        <v>1050000</v>
      </c>
      <c r="R324" s="43">
        <v>2</v>
      </c>
      <c r="S324" s="41" t="s">
        <v>790</v>
      </c>
      <c r="T324" s="41" t="s">
        <v>791</v>
      </c>
      <c r="U324" s="44">
        <f t="shared" si="16"/>
        <v>1</v>
      </c>
      <c r="V324" s="44">
        <f>IF(U324=1,SUM($U$2:U324),"")</f>
        <v>323</v>
      </c>
    </row>
    <row r="325" spans="2:22">
      <c r="B325" s="47">
        <f>IFERROR(IF(MATCH(321,$V$2:$V$362,0)&gt;0,321,""),"")</f>
        <v>321</v>
      </c>
      <c r="C325" s="8" t="str">
        <f>IFERROR(INDEX($L$2:$Q$362,MATCH(321,$V$2:$V$362,0),2),"")</f>
        <v>Прицел оптический ПУ для СВТ</v>
      </c>
      <c r="D325" s="52" t="str">
        <f>IFERROR(INDEX($L$2:$Q$362,MATCH(321,$V$2:$V$362,0),3),"")</f>
        <v>Отмычка</v>
      </c>
      <c r="E325" s="47" t="str">
        <f>IFERROR(INDEX($L$2:$Q$362,MATCH(321,$V$2:$V$362,0),4),"")</f>
        <v>Прицелы</v>
      </c>
      <c r="I325" s="46"/>
      <c r="L325" s="41">
        <f>'Бартер контейнеры и сумки'!A10</f>
        <v>2</v>
      </c>
      <c r="M325" s="41" t="str">
        <f>'Бартер контейнеры и сумки'!C10</f>
        <v>Контейнер «Бочонок»</v>
      </c>
      <c r="N325" s="41" t="str">
        <f>'Бартер контейнеры и сумки'!D10</f>
        <v>Мастер</v>
      </c>
      <c r="O325" s="41" t="str">
        <f>'Бартер контейнеры и сумки'!E10</f>
        <v>Контейнеры</v>
      </c>
      <c r="P325" s="41" t="str">
        <f t="shared" si="17"/>
        <v>Контейнеры</v>
      </c>
      <c r="Q325" s="42">
        <f>IF(ISNUMBER('Бартер контейнеры и сумки'!G15), 'Бартер контейнеры и сумки'!G15, "")</f>
        <v>1050000</v>
      </c>
      <c r="R325" s="43">
        <v>1</v>
      </c>
      <c r="S325" s="41" t="s">
        <v>405</v>
      </c>
      <c r="T325" s="41" t="s">
        <v>792</v>
      </c>
      <c r="U325" s="44">
        <f t="shared" si="16"/>
        <v>1</v>
      </c>
      <c r="V325" s="44">
        <f>IF(U325=1,SUM($U$2:U325),"")</f>
        <v>324</v>
      </c>
    </row>
    <row r="326" spans="2:22">
      <c r="B326" s="47">
        <f>IFERROR(IF(MATCH(322,$V$2:$V$362,0)&gt;0,322,""),"")</f>
        <v>322</v>
      </c>
      <c r="C326" s="8" t="str">
        <f>IFERROR(INDEX($L$2:$Q$362,MATCH(322,$V$2:$V$362,0),2),"")</f>
        <v>Прицел оптический ПУ на боковой кронштейн</v>
      </c>
      <c r="D326" s="52" t="str">
        <f>IFERROR(INDEX($L$2:$Q$362,MATCH(322,$V$2:$V$362,0),3),"")</f>
        <v>Отмычка</v>
      </c>
      <c r="E326" s="47" t="str">
        <f>IFERROR(INDEX($L$2:$Q$362,MATCH(322,$V$2:$V$362,0),4),"")</f>
        <v>Прицелы</v>
      </c>
      <c r="I326" s="46"/>
      <c r="L326" s="41">
        <f>'Бартер контейнеры и сумки'!A17</f>
        <v>3</v>
      </c>
      <c r="M326" s="41" t="str">
        <f>'Бартер контейнеры и сумки'!C17</f>
        <v>Контейнер «Улей»</v>
      </c>
      <c r="N326" s="41" t="str">
        <f>'Бартер контейнеры и сумки'!D17</f>
        <v>Мастер</v>
      </c>
      <c r="O326" s="41" t="str">
        <f>'Бартер контейнеры и сумки'!E17</f>
        <v>Контейнеры</v>
      </c>
      <c r="P326" s="41" t="str">
        <f t="shared" si="17"/>
        <v>Контейнеры</v>
      </c>
      <c r="Q326" s="42">
        <f>IF(ISNUMBER('Бартер контейнеры и сумки'!G22), 'Бартер контейнеры и сумки'!G22, "")</f>
        <v>1050000</v>
      </c>
      <c r="R326" s="43">
        <v>2</v>
      </c>
      <c r="S326" s="41" t="s">
        <v>793</v>
      </c>
      <c r="T326" s="41" t="s">
        <v>794</v>
      </c>
      <c r="U326" s="44">
        <f t="shared" si="16"/>
        <v>1</v>
      </c>
      <c r="V326" s="44">
        <f>IF(U326=1,SUM($U$2:U326),"")</f>
        <v>325</v>
      </c>
    </row>
    <row r="327" spans="2:22">
      <c r="B327" s="47">
        <f>IFERROR(IF(MATCH(323,$V$2:$V$362,0)&gt;0,323,""),"")</f>
        <v>323</v>
      </c>
      <c r="C327" s="4" t="str">
        <f>IFERROR(INDEX($L$2:$Q$362,MATCH(323,$V$2:$V$362,0),2),"")</f>
        <v>Контейнер «Берлога-6»</v>
      </c>
      <c r="D327" s="48" t="str">
        <f>IFERROR(INDEX($L$2:$Q$362,MATCH(323,$V$2:$V$362,0),3),"")</f>
        <v>Мастер</v>
      </c>
      <c r="E327" s="47" t="str">
        <f>IFERROR(INDEX($L$2:$Q$362,MATCH(323,$V$2:$V$362,0),4),"")</f>
        <v>Контейнеры</v>
      </c>
      <c r="I327" s="46"/>
      <c r="L327" s="41">
        <f>'Бартер контейнеры и сумки'!A24</f>
        <v>4</v>
      </c>
      <c r="M327" s="41" t="str">
        <f>'Бартер контейнеры и сумки'!C24</f>
        <v>Контейнер «КСМ»</v>
      </c>
      <c r="N327" s="41" t="str">
        <f>'Бартер контейнеры и сумки'!D24</f>
        <v>Мастер</v>
      </c>
      <c r="O327" s="41" t="str">
        <f>'Бартер контейнеры и сумки'!E24</f>
        <v>Контейнеры</v>
      </c>
      <c r="P327" s="41" t="str">
        <f t="shared" si="17"/>
        <v>Контейнеры</v>
      </c>
      <c r="Q327" s="42">
        <f>IF(ISNUMBER('Бартер контейнеры и сумки'!G29), 'Бартер контейнеры и сумки'!G29, "")</f>
        <v>1050000</v>
      </c>
      <c r="R327" s="43">
        <v>1</v>
      </c>
      <c r="S327" s="41" t="s">
        <v>409</v>
      </c>
      <c r="T327" s="41" t="s">
        <v>795</v>
      </c>
      <c r="U327" s="44">
        <f t="shared" si="16"/>
        <v>1</v>
      </c>
      <c r="V327" s="44">
        <f>IF(U327=1,SUM($U$2:U327),"")</f>
        <v>326</v>
      </c>
    </row>
    <row r="328" spans="2:22">
      <c r="B328" s="47">
        <f>IFERROR(IF(MATCH(324,$V$2:$V$362,0)&gt;0,324,""),"")</f>
        <v>324</v>
      </c>
      <c r="C328" s="4" t="str">
        <f>IFERROR(INDEX($L$2:$Q$362,MATCH(324,$V$2:$V$362,0),2),"")</f>
        <v>Контейнер «Бочонок»</v>
      </c>
      <c r="D328" s="48" t="str">
        <f>IFERROR(INDEX($L$2:$Q$362,MATCH(324,$V$2:$V$362,0),3),"")</f>
        <v>Мастер</v>
      </c>
      <c r="E328" s="47" t="str">
        <f>IFERROR(INDEX($L$2:$Q$362,MATCH(324,$V$2:$V$362,0),4),"")</f>
        <v>Контейнеры</v>
      </c>
      <c r="I328" s="46"/>
      <c r="L328" s="41">
        <f>'Бартер контейнеры и сумки'!A31</f>
        <v>5</v>
      </c>
      <c r="M328" s="41" t="str">
        <f>'Бартер контейнеры и сумки'!C31</f>
        <v>Рюкзак «Гроб»</v>
      </c>
      <c r="N328" s="41" t="str">
        <f>'Бартер контейнеры и сумки'!D31</f>
        <v>Мастер</v>
      </c>
      <c r="O328" s="41" t="str">
        <f>'Бартер контейнеры и сумки'!E31</f>
        <v>Рюкзаки</v>
      </c>
      <c r="P328" s="41" t="str">
        <f t="shared" si="17"/>
        <v>Контейнеры</v>
      </c>
      <c r="Q328" s="42">
        <f>IF(ISNUMBER('Бартер контейнеры и сумки'!G36), 'Бартер контейнеры и сумки'!G36, "")</f>
        <v>1050000</v>
      </c>
      <c r="R328" s="43">
        <v>1</v>
      </c>
      <c r="S328" s="41" t="s">
        <v>412</v>
      </c>
      <c r="T328" s="41" t="s">
        <v>796</v>
      </c>
      <c r="U328" s="44">
        <f t="shared" si="16"/>
        <v>1</v>
      </c>
      <c r="V328" s="44">
        <f>IF(U328=1,SUM($U$2:U328),"")</f>
        <v>327</v>
      </c>
    </row>
    <row r="329" spans="2:22">
      <c r="B329" s="47">
        <f>IFERROR(IF(MATCH(325,$V$2:$V$362,0)&gt;0,325,""),"")</f>
        <v>325</v>
      </c>
      <c r="C329" s="4" t="str">
        <f>IFERROR(INDEX($L$2:$Q$362,MATCH(325,$V$2:$V$362,0),2),"")</f>
        <v>Контейнер «Улей»</v>
      </c>
      <c r="D329" s="48" t="str">
        <f>IFERROR(INDEX($L$2:$Q$362,MATCH(325,$V$2:$V$362,0),3),"")</f>
        <v>Мастер</v>
      </c>
      <c r="E329" s="47" t="str">
        <f>IFERROR(INDEX($L$2:$Q$362,MATCH(325,$V$2:$V$362,0),4),"")</f>
        <v>Контейнеры</v>
      </c>
      <c r="I329" s="46"/>
      <c r="L329" s="41">
        <f>'Бартер контейнеры и сумки'!A38</f>
        <v>6</v>
      </c>
      <c r="M329" s="41" t="str">
        <f>'Бартер контейнеры и сумки'!C38</f>
        <v>Рюкзак Secret Valley 35</v>
      </c>
      <c r="N329" s="41" t="str">
        <f>'Бартер контейнеры и сумки'!D38</f>
        <v>Мастер</v>
      </c>
      <c r="O329" s="41" t="str">
        <f>'Бартер контейнеры и сумки'!E38</f>
        <v>Рюкзаки</v>
      </c>
      <c r="P329" s="41" t="str">
        <f t="shared" si="17"/>
        <v>Контейнеры</v>
      </c>
      <c r="Q329" s="42">
        <f>IF(ISNUMBER('Бартер контейнеры и сумки'!G43), 'Бартер контейнеры и сумки'!G43, "")</f>
        <v>1050000</v>
      </c>
      <c r="R329" s="43">
        <v>1</v>
      </c>
      <c r="S329" s="41" t="s">
        <v>414</v>
      </c>
      <c r="T329" s="41" t="s">
        <v>797</v>
      </c>
      <c r="U329" s="44">
        <f t="shared" si="16"/>
        <v>1</v>
      </c>
      <c r="V329" s="44">
        <f>IF(U329=1,SUM($U$2:U329),"")</f>
        <v>328</v>
      </c>
    </row>
    <row r="330" spans="2:22">
      <c r="B330" s="47">
        <f>IFERROR(IF(MATCH(326,$V$2:$V$362,0)&gt;0,326,""),"")</f>
        <v>326</v>
      </c>
      <c r="C330" s="4" t="str">
        <f>IFERROR(INDEX($L$2:$Q$362,MATCH(326,$V$2:$V$362,0),2),"")</f>
        <v>Контейнер «КСМ»</v>
      </c>
      <c r="D330" s="48" t="str">
        <f>IFERROR(INDEX($L$2:$Q$362,MATCH(326,$V$2:$V$362,0),3),"")</f>
        <v>Мастер</v>
      </c>
      <c r="E330" s="47" t="str">
        <f>IFERROR(INDEX($L$2:$Q$362,MATCH(326,$V$2:$V$362,0),4),"")</f>
        <v>Контейнеры</v>
      </c>
      <c r="I330" s="46"/>
      <c r="L330" s="41">
        <f>'Бартер контейнеры и сумки'!A45</f>
        <v>7</v>
      </c>
      <c r="M330" s="41" t="str">
        <f>'Бартер контейнеры и сумки'!C45</f>
        <v>Разгрузка ADR-WRBT</v>
      </c>
      <c r="N330" s="41" t="str">
        <f>'Бартер контейнеры и сумки'!D45</f>
        <v>Мастер</v>
      </c>
      <c r="O330" s="41" t="str">
        <f>'Бартер контейнеры и сумки'!E45</f>
        <v>Рюкзаки</v>
      </c>
      <c r="P330" s="41" t="str">
        <f t="shared" si="17"/>
        <v>Контейнеры</v>
      </c>
      <c r="Q330" s="42">
        <f>IF(ISNUMBER('Бартер контейнеры и сумки'!G50), 'Бартер контейнеры и сумки'!G50, "")</f>
        <v>1050000</v>
      </c>
      <c r="R330" s="43">
        <v>1</v>
      </c>
      <c r="S330" s="41" t="s">
        <v>416</v>
      </c>
      <c r="T330" s="41" t="s">
        <v>798</v>
      </c>
      <c r="U330" s="44">
        <f t="shared" si="16"/>
        <v>1</v>
      </c>
      <c r="V330" s="44">
        <f>IF(U330=1,SUM($U$2:U330),"")</f>
        <v>329</v>
      </c>
    </row>
    <row r="331" spans="2:22">
      <c r="B331" s="47">
        <f>IFERROR(IF(MATCH(327,$V$2:$V$362,0)&gt;0,327,""),"")</f>
        <v>327</v>
      </c>
      <c r="C331" s="4" t="str">
        <f>IFERROR(INDEX($L$2:$Q$362,MATCH(327,$V$2:$V$362,0),2),"")</f>
        <v>Рюкзак «Гроб»</v>
      </c>
      <c r="D331" s="48" t="str">
        <f>IFERROR(INDEX($L$2:$Q$362,MATCH(327,$V$2:$V$362,0),3),"")</f>
        <v>Мастер</v>
      </c>
      <c r="E331" s="47" t="str">
        <f>IFERROR(INDEX($L$2:$Q$362,MATCH(327,$V$2:$V$362,0),4),"")</f>
        <v>Рюкзаки</v>
      </c>
      <c r="I331" s="46"/>
      <c r="L331" s="41">
        <f>'Бартер контейнеры и сумки'!A52</f>
        <v>8</v>
      </c>
      <c r="M331" s="41" t="str">
        <f>'Бартер контейнеры и сумки'!C52</f>
        <v>Контейнер «Кега-УЭ»</v>
      </c>
      <c r="N331" s="41" t="str">
        <f>'Бартер контейнеры и сумки'!D52</f>
        <v>Ветеран</v>
      </c>
      <c r="O331" s="41" t="str">
        <f>'Бартер контейнеры и сумки'!E52</f>
        <v>Контейнеры</v>
      </c>
      <c r="P331" s="41" t="str">
        <f t="shared" si="17"/>
        <v>Контейнеры</v>
      </c>
      <c r="Q331" s="42">
        <f>IF(ISNUMBER('Бартер контейнеры и сумки'!G57), 'Бартер контейнеры и сумки'!G57, "")</f>
        <v>335000</v>
      </c>
      <c r="R331" s="43">
        <v>2</v>
      </c>
      <c r="S331" s="41" t="s">
        <v>417</v>
      </c>
      <c r="T331" s="41" t="s">
        <v>799</v>
      </c>
      <c r="U331" s="44">
        <f t="shared" si="16"/>
        <v>1</v>
      </c>
      <c r="V331" s="44">
        <f>IF(U331=1,SUM($U$2:U331),"")</f>
        <v>330</v>
      </c>
    </row>
    <row r="332" spans="2:22">
      <c r="B332" s="47">
        <f>IFERROR(IF(MATCH(328,$V$2:$V$362,0)&gt;0,328,""),"")</f>
        <v>328</v>
      </c>
      <c r="C332" s="4" t="str">
        <f>IFERROR(INDEX($L$2:$Q$362,MATCH(328,$V$2:$V$362,0),2),"")</f>
        <v>Рюкзак Secret Valley 35</v>
      </c>
      <c r="D332" s="48" t="str">
        <f>IFERROR(INDEX($L$2:$Q$362,MATCH(328,$V$2:$V$362,0),3),"")</f>
        <v>Мастер</v>
      </c>
      <c r="E332" s="47" t="str">
        <f>IFERROR(INDEX($L$2:$Q$362,MATCH(328,$V$2:$V$362,0),4),"")</f>
        <v>Рюкзаки</v>
      </c>
      <c r="I332" s="46"/>
      <c r="L332" s="41">
        <f>'Бартер контейнеры и сумки'!A59</f>
        <v>9</v>
      </c>
      <c r="M332" s="41" t="str">
        <f>'Бартер контейнеры и сумки'!C59</f>
        <v>Контейнер «Сота-У»</v>
      </c>
      <c r="N332" s="41" t="str">
        <f>'Бартер контейнеры и сумки'!D59</f>
        <v>Ветеран</v>
      </c>
      <c r="O332" s="41" t="str">
        <f>'Бартер контейнеры и сумки'!E59</f>
        <v>Контейнеры</v>
      </c>
      <c r="P332" s="41" t="str">
        <f t="shared" si="17"/>
        <v>Контейнеры</v>
      </c>
      <c r="Q332" s="42">
        <f>IF(ISNUMBER('Бартер контейнеры и сумки'!G64), 'Бартер контейнеры и сумки'!G64, "")</f>
        <v>335000</v>
      </c>
      <c r="R332" s="43">
        <v>2</v>
      </c>
      <c r="S332" s="41" t="s">
        <v>418</v>
      </c>
      <c r="T332" s="41" t="s">
        <v>800</v>
      </c>
      <c r="U332" s="44">
        <f t="shared" si="16"/>
        <v>1</v>
      </c>
      <c r="V332" s="44">
        <f>IF(U332=1,SUM($U$2:U332),"")</f>
        <v>331</v>
      </c>
    </row>
    <row r="333" spans="2:22">
      <c r="B333" s="47">
        <f>IFERROR(IF(MATCH(329,$V$2:$V$362,0)&gt;0,329,""),"")</f>
        <v>329</v>
      </c>
      <c r="C333" s="4" t="str">
        <f>IFERROR(INDEX($L$2:$Q$362,MATCH(329,$V$2:$V$362,0),2),"")</f>
        <v>Разгрузка ADR-WRBT</v>
      </c>
      <c r="D333" s="48" t="str">
        <f>IFERROR(INDEX($L$2:$Q$362,MATCH(329,$V$2:$V$362,0),3),"")</f>
        <v>Мастер</v>
      </c>
      <c r="E333" s="47" t="str">
        <f>IFERROR(INDEX($L$2:$Q$362,MATCH(329,$V$2:$V$362,0),4),"")</f>
        <v>Рюкзаки</v>
      </c>
      <c r="I333" s="46"/>
      <c r="L333" s="41">
        <f>'Бартер контейнеры и сумки'!A66</f>
        <v>10</v>
      </c>
      <c r="M333" s="41" t="str">
        <f>'Бартер контейнеры и сумки'!C66</f>
        <v>Контейнер «Берлога-5У»</v>
      </c>
      <c r="N333" s="41" t="str">
        <f>'Бартер контейнеры и сумки'!D66</f>
        <v>Ветеран</v>
      </c>
      <c r="O333" s="41" t="str">
        <f>'Бартер контейнеры и сумки'!E66</f>
        <v>Контейнеры</v>
      </c>
      <c r="P333" s="41" t="str">
        <f t="shared" si="17"/>
        <v>Контейнеры</v>
      </c>
      <c r="Q333" s="42">
        <f>IF(ISNUMBER('Бартер контейнеры и сумки'!G71), 'Бартер контейнеры и сумки'!G71, "")</f>
        <v>335000</v>
      </c>
      <c r="R333" s="43">
        <v>2</v>
      </c>
      <c r="S333" s="41" t="s">
        <v>419</v>
      </c>
      <c r="T333" s="41" t="s">
        <v>801</v>
      </c>
      <c r="U333" s="44">
        <f t="shared" si="16"/>
        <v>1</v>
      </c>
      <c r="V333" s="44">
        <f>IF(U333=1,SUM($U$2:U333),"")</f>
        <v>332</v>
      </c>
    </row>
    <row r="334" spans="2:22">
      <c r="B334" s="47">
        <f>IFERROR(IF(MATCH(330,$V$2:$V$362,0)&gt;0,330,""),"")</f>
        <v>330</v>
      </c>
      <c r="C334" s="5" t="str">
        <f>IFERROR(INDEX($L$2:$Q$362,MATCH(330,$V$2:$V$362,0),2),"")</f>
        <v>Контейнер «Кега-УЭ»</v>
      </c>
      <c r="D334" s="49" t="str">
        <f>IFERROR(INDEX($L$2:$Q$362,MATCH(330,$V$2:$V$362,0),3),"")</f>
        <v>Ветеран</v>
      </c>
      <c r="E334" s="47" t="str">
        <f>IFERROR(INDEX($L$2:$Q$362,MATCH(330,$V$2:$V$362,0),4),"")</f>
        <v>Контейнеры</v>
      </c>
      <c r="I334" s="46"/>
      <c r="L334" s="41">
        <f>'Бартер контейнеры и сумки'!A73</f>
        <v>11</v>
      </c>
      <c r="M334" s="41" t="str">
        <f>'Бартер контейнеры и сумки'!C73</f>
        <v>Ягдташ</v>
      </c>
      <c r="N334" s="41" t="str">
        <f>'Бартер контейнеры и сумки'!D73</f>
        <v>Ветеран</v>
      </c>
      <c r="O334" s="41" t="str">
        <f>'Бартер контейнеры и сумки'!E73</f>
        <v>Рюкзаки</v>
      </c>
      <c r="P334" s="41" t="str">
        <f t="shared" si="17"/>
        <v>Контейнеры</v>
      </c>
      <c r="Q334" s="42">
        <f>IF(ISNUMBER('Бартер контейнеры и сумки'!G78), 'Бартер контейнеры и сумки'!G78, "")</f>
        <v>335000</v>
      </c>
      <c r="R334" s="43">
        <v>2</v>
      </c>
      <c r="S334" s="41" t="s">
        <v>420</v>
      </c>
      <c r="T334" s="41" t="s">
        <v>802</v>
      </c>
      <c r="U334" s="44">
        <f t="shared" si="16"/>
        <v>1</v>
      </c>
      <c r="V334" s="44">
        <f>IF(U334=1,SUM($U$2:U334),"")</f>
        <v>333</v>
      </c>
    </row>
    <row r="335" spans="2:22">
      <c r="B335" s="47">
        <f>IFERROR(IF(MATCH(331,$V$2:$V$362,0)&gt;0,331,""),"")</f>
        <v>331</v>
      </c>
      <c r="C335" s="5" t="str">
        <f>IFERROR(INDEX($L$2:$Q$362,MATCH(331,$V$2:$V$362,0),2),"")</f>
        <v>Контейнер «Сота-У»</v>
      </c>
      <c r="D335" s="49" t="str">
        <f>IFERROR(INDEX($L$2:$Q$362,MATCH(331,$V$2:$V$362,0),3),"")</f>
        <v>Ветеран</v>
      </c>
      <c r="E335" s="47" t="str">
        <f>IFERROR(INDEX($L$2:$Q$362,MATCH(331,$V$2:$V$362,0),4),"")</f>
        <v>Контейнеры</v>
      </c>
      <c r="I335" s="46"/>
      <c r="L335" s="41">
        <f>'Бартер контейнеры и сумки'!A80</f>
        <v>12</v>
      </c>
      <c r="M335" s="41" t="str">
        <f>'Бартер контейнеры и сумки'!C80</f>
        <v>Контейнер «КЗС-МУ»</v>
      </c>
      <c r="N335" s="41" t="str">
        <f>'Бартер контейнеры и сумки'!D80</f>
        <v>Ветеран</v>
      </c>
      <c r="O335" s="41" t="str">
        <f>'Бартер контейнеры и сумки'!E80</f>
        <v>Контейнеры</v>
      </c>
      <c r="P335" s="41" t="str">
        <f t="shared" si="17"/>
        <v>Контейнеры</v>
      </c>
      <c r="Q335" s="42">
        <f>IF(ISNUMBER('Бартер контейнеры и сумки'!G85), 'Бартер контейнеры и сумки'!G85, "")</f>
        <v>335000</v>
      </c>
      <c r="R335" s="43">
        <v>2</v>
      </c>
      <c r="S335" s="41" t="s">
        <v>421</v>
      </c>
      <c r="T335" s="41" t="s">
        <v>803</v>
      </c>
      <c r="U335" s="44">
        <f t="shared" si="16"/>
        <v>1</v>
      </c>
      <c r="V335" s="44">
        <f>IF(U335=1,SUM($U$2:U335),"")</f>
        <v>334</v>
      </c>
    </row>
    <row r="336" spans="2:22">
      <c r="B336" s="47">
        <f>IFERROR(IF(MATCH(332,$V$2:$V$362,0)&gt;0,332,""),"")</f>
        <v>332</v>
      </c>
      <c r="C336" s="5" t="str">
        <f>IFERROR(INDEX($L$2:$Q$362,MATCH(332,$V$2:$V$362,0),2),"")</f>
        <v>Контейнер «Берлога-5У»</v>
      </c>
      <c r="D336" s="49" t="str">
        <f>IFERROR(INDEX($L$2:$Q$362,MATCH(332,$V$2:$V$362,0),3),"")</f>
        <v>Ветеран</v>
      </c>
      <c r="E336" s="47" t="str">
        <f>IFERROR(INDEX($L$2:$Q$362,MATCH(332,$V$2:$V$362,0),4),"")</f>
        <v>Контейнеры</v>
      </c>
      <c r="I336" s="46"/>
      <c r="L336" s="41">
        <f>'Бартер контейнеры и сумки'!A87</f>
        <v>13</v>
      </c>
      <c r="M336" s="41" t="str">
        <f>'Бартер контейнеры и сумки'!C87</f>
        <v>Советский походный рюкзак</v>
      </c>
      <c r="N336" s="41" t="str">
        <f>'Бартер контейнеры и сумки'!D87</f>
        <v>Ветеран</v>
      </c>
      <c r="O336" s="41" t="str">
        <f>'Бартер контейнеры и сумки'!E87</f>
        <v>Рюкзаки</v>
      </c>
      <c r="P336" s="41" t="str">
        <f t="shared" si="17"/>
        <v>Контейнеры</v>
      </c>
      <c r="Q336" s="42">
        <f>IF(ISNUMBER('Бартер контейнеры и сумки'!G92), 'Бартер контейнеры и сумки'!G92, "")</f>
        <v>335000</v>
      </c>
      <c r="R336" s="43">
        <v>2</v>
      </c>
      <c r="S336" s="41" t="s">
        <v>422</v>
      </c>
      <c r="T336" s="41" t="s">
        <v>804</v>
      </c>
      <c r="U336" s="44">
        <f t="shared" si="16"/>
        <v>1</v>
      </c>
      <c r="V336" s="44">
        <f>IF(U336=1,SUM($U$2:U336),"")</f>
        <v>335</v>
      </c>
    </row>
    <row r="337" spans="2:22">
      <c r="B337" s="47">
        <f>IFERROR(IF(MATCH(333,$V$2:$V$362,0)&gt;0,333,""),"")</f>
        <v>333</v>
      </c>
      <c r="C337" s="5" t="str">
        <f>IFERROR(INDEX($L$2:$Q$362,MATCH(333,$V$2:$V$362,0),2),"")</f>
        <v>Ягдташ</v>
      </c>
      <c r="D337" s="49" t="str">
        <f>IFERROR(INDEX($L$2:$Q$362,MATCH(333,$V$2:$V$362,0),3),"")</f>
        <v>Ветеран</v>
      </c>
      <c r="E337" s="47" t="str">
        <f>IFERROR(INDEX($L$2:$Q$362,MATCH(333,$V$2:$V$362,0),4),"")</f>
        <v>Рюкзаки</v>
      </c>
      <c r="I337" s="46"/>
      <c r="L337" s="41">
        <f>'Бартер контейнеры и сумки'!A94</f>
        <v>14</v>
      </c>
      <c r="M337" s="41" t="str">
        <f>'Бартер контейнеры и сумки'!C94</f>
        <v>Разгрузка Black Eagle Y-73</v>
      </c>
      <c r="N337" s="41" t="str">
        <f>'Бартер контейнеры и сумки'!D94</f>
        <v>Ветеран</v>
      </c>
      <c r="O337" s="41" t="str">
        <f>'Бартер контейнеры и сумки'!E94</f>
        <v>Рюкзаки</v>
      </c>
      <c r="P337" s="41" t="str">
        <f t="shared" si="17"/>
        <v>Контейнеры</v>
      </c>
      <c r="Q337" s="42">
        <f>IF(ISNUMBER('Бартер контейнеры и сумки'!G99), 'Бартер контейнеры и сумки'!G99, "")</f>
        <v>335000</v>
      </c>
      <c r="R337" s="43">
        <v>2</v>
      </c>
      <c r="S337" s="41" t="s">
        <v>423</v>
      </c>
      <c r="T337" s="41" t="s">
        <v>805</v>
      </c>
      <c r="U337" s="44">
        <f t="shared" si="16"/>
        <v>1</v>
      </c>
      <c r="V337" s="44">
        <f>IF(U337=1,SUM($U$2:U337),"")</f>
        <v>336</v>
      </c>
    </row>
    <row r="338" spans="2:22">
      <c r="B338" s="47">
        <f>IFERROR(IF(MATCH(334,$V$2:$V$362,0)&gt;0,334,""),"")</f>
        <v>334</v>
      </c>
      <c r="C338" s="5" t="str">
        <f>IFERROR(INDEX($L$2:$Q$362,MATCH(334,$V$2:$V$362,0),2),"")</f>
        <v>Контейнер «КЗС-МУ»</v>
      </c>
      <c r="D338" s="49" t="str">
        <f>IFERROR(INDEX($L$2:$Q$362,MATCH(334,$V$2:$V$362,0),3),"")</f>
        <v>Ветеран</v>
      </c>
      <c r="E338" s="47" t="str">
        <f>IFERROR(INDEX($L$2:$Q$362,MATCH(334,$V$2:$V$362,0),4),"")</f>
        <v>Контейнеры</v>
      </c>
      <c r="I338" s="46"/>
      <c r="L338" s="41">
        <f>'Бартер контейнеры и сумки'!A101</f>
        <v>15</v>
      </c>
      <c r="M338" s="41" t="str">
        <f>'Бартер контейнеры и сумки'!C101</f>
        <v>Контейнер «Добытчик»</v>
      </c>
      <c r="N338" s="41" t="str">
        <f>'Бартер контейнеры и сумки'!D101</f>
        <v>Ветеран</v>
      </c>
      <c r="O338" s="41" t="str">
        <f>'Бартер контейнеры и сумки'!E101</f>
        <v>Контейнеры</v>
      </c>
      <c r="P338" s="41" t="str">
        <f t="shared" si="17"/>
        <v>Контейнеры</v>
      </c>
      <c r="Q338" s="42">
        <f>IF(ISNUMBER('Бартер контейнеры и сумки'!G106), 'Бартер контейнеры и сумки'!G106, "")</f>
        <v>521000</v>
      </c>
      <c r="R338" s="43">
        <v>1</v>
      </c>
      <c r="S338" s="41"/>
      <c r="T338" s="41" t="s">
        <v>806</v>
      </c>
      <c r="U338" s="44">
        <f t="shared" si="16"/>
        <v>1</v>
      </c>
      <c r="V338" s="44">
        <f>IF(U338=1,SUM($U$2:U338),"")</f>
        <v>337</v>
      </c>
    </row>
    <row r="339" spans="2:22">
      <c r="B339" s="47">
        <f>IFERROR(IF(MATCH(335,$V$2:$V$362,0)&gt;0,335,""),"")</f>
        <v>335</v>
      </c>
      <c r="C339" s="5" t="str">
        <f>IFERROR(INDEX($L$2:$Q$362,MATCH(335,$V$2:$V$362,0),2),"")</f>
        <v>Советский походный рюкзак</v>
      </c>
      <c r="D339" s="49" t="str">
        <f>IFERROR(INDEX($L$2:$Q$362,MATCH(335,$V$2:$V$362,0),3),"")</f>
        <v>Ветеран</v>
      </c>
      <c r="E339" s="47" t="str">
        <f>IFERROR(INDEX($L$2:$Q$362,MATCH(335,$V$2:$V$362,0),4),"")</f>
        <v>Рюкзаки</v>
      </c>
      <c r="I339" s="46"/>
      <c r="L339" s="41">
        <f>'Бартер контейнеры и сумки'!A108</f>
        <v>16</v>
      </c>
      <c r="M339" s="41" t="str">
        <f>'Бартер контейнеры и сумки'!C108</f>
        <v>Подсумок Black Eagle B-33</v>
      </c>
      <c r="N339" s="41" t="str">
        <f>'Бартер контейнеры и сумки'!D108</f>
        <v>Сталкер</v>
      </c>
      <c r="O339" s="41" t="str">
        <f>'Бартер контейнеры и сумки'!E108</f>
        <v>Рюкзаки</v>
      </c>
      <c r="P339" s="41" t="str">
        <f t="shared" si="17"/>
        <v>Контейнеры</v>
      </c>
      <c r="Q339" s="42">
        <f>IF(ISNUMBER('Бартер контейнеры и сумки'!G113), 'Бартер контейнеры и сумки'!G113, "")</f>
        <v>126000</v>
      </c>
      <c r="R339" s="43">
        <v>1</v>
      </c>
      <c r="S339" s="41" t="s">
        <v>424</v>
      </c>
      <c r="T339" s="41" t="s">
        <v>807</v>
      </c>
      <c r="U339" s="44">
        <f t="shared" si="16"/>
        <v>1</v>
      </c>
      <c r="V339" s="44">
        <f>IF(U339=1,SUM($U$2:U339),"")</f>
        <v>338</v>
      </c>
    </row>
    <row r="340" spans="2:22">
      <c r="B340" s="47">
        <f>IFERROR(IF(MATCH(336,$V$2:$V$362,0)&gt;0,336,""),"")</f>
        <v>336</v>
      </c>
      <c r="C340" s="5" t="str">
        <f>IFERROR(INDEX($L$2:$Q$362,MATCH(336,$V$2:$V$362,0),2),"")</f>
        <v>Разгрузка Black Eagle Y-73</v>
      </c>
      <c r="D340" s="49" t="str">
        <f>IFERROR(INDEX($L$2:$Q$362,MATCH(336,$V$2:$V$362,0),3),"")</f>
        <v>Ветеран</v>
      </c>
      <c r="E340" s="47" t="str">
        <f>IFERROR(INDEX($L$2:$Q$362,MATCH(336,$V$2:$V$362,0),4),"")</f>
        <v>Рюкзаки</v>
      </c>
      <c r="I340" s="46"/>
      <c r="L340" s="41">
        <f>'Бартер контейнеры и сумки'!A115</f>
        <v>17</v>
      </c>
      <c r="M340" s="41" t="str">
        <f>'Бартер контейнеры и сумки'!C115</f>
        <v>Штурмовой рюкзак Tri-Zip</v>
      </c>
      <c r="N340" s="41" t="str">
        <f>'Бартер контейнеры и сумки'!D115</f>
        <v>Сталкер</v>
      </c>
      <c r="O340" s="41" t="str">
        <f>'Бартер контейнеры и сумки'!E115</f>
        <v>Рюкзаки</v>
      </c>
      <c r="P340" s="41" t="str">
        <f t="shared" si="17"/>
        <v>Контейнеры</v>
      </c>
      <c r="Q340" s="42">
        <f>IF(ISNUMBER('Бартер контейнеры и сумки'!G120), 'Бартер контейнеры и сумки'!G120, "")</f>
        <v>126000</v>
      </c>
      <c r="R340" s="43">
        <v>1</v>
      </c>
      <c r="S340" s="41" t="s">
        <v>425</v>
      </c>
      <c r="T340" s="41" t="s">
        <v>808</v>
      </c>
      <c r="U340" s="44">
        <f t="shared" si="16"/>
        <v>1</v>
      </c>
      <c r="V340" s="44">
        <f>IF(U340=1,SUM($U$2:U340),"")</f>
        <v>339</v>
      </c>
    </row>
    <row r="341" spans="2:22">
      <c r="B341" s="47">
        <f>IFERROR(IF(MATCH(337,$V$2:$V$362,0)&gt;0,337,""),"")</f>
        <v>337</v>
      </c>
      <c r="C341" s="5" t="str">
        <f>IFERROR(INDEX($L$2:$Q$362,MATCH(337,$V$2:$V$362,0),2),"")</f>
        <v>Контейнер «Добытчик»</v>
      </c>
      <c r="D341" s="49" t="str">
        <f>IFERROR(INDEX($L$2:$Q$362,MATCH(337,$V$2:$V$362,0),3),"")</f>
        <v>Ветеран</v>
      </c>
      <c r="E341" s="47" t="str">
        <f>IFERROR(INDEX($L$2:$Q$362,MATCH(337,$V$2:$V$362,0),4),"")</f>
        <v>Контейнеры</v>
      </c>
      <c r="I341" s="46"/>
      <c r="L341" s="41">
        <f>'Бартер контейнеры и сумки'!A122</f>
        <v>18</v>
      </c>
      <c r="M341" s="41" t="str">
        <f>'Бартер контейнеры и сумки'!C122</f>
        <v>Контейнер «КЗС-М»</v>
      </c>
      <c r="N341" s="41" t="str">
        <f>'Бартер контейнеры и сумки'!D122</f>
        <v>Сталкер</v>
      </c>
      <c r="O341" s="41" t="str">
        <f>'Бартер контейнеры и сумки'!E122</f>
        <v>Контейнеры</v>
      </c>
      <c r="P341" s="41" t="str">
        <f t="shared" si="17"/>
        <v>Контейнеры</v>
      </c>
      <c r="Q341" s="42">
        <f>IF(ISNUMBER('Бартер контейнеры и сумки'!G127), 'Бартер контейнеры и сумки'!G127, "")</f>
        <v>126000</v>
      </c>
      <c r="R341" s="43">
        <v>1</v>
      </c>
      <c r="S341" s="41" t="s">
        <v>426</v>
      </c>
      <c r="T341" s="41" t="s">
        <v>809</v>
      </c>
      <c r="U341" s="44">
        <f t="shared" si="16"/>
        <v>1</v>
      </c>
      <c r="V341" s="44">
        <f>IF(U341=1,SUM($U$2:U341),"")</f>
        <v>340</v>
      </c>
    </row>
    <row r="342" spans="2:22">
      <c r="B342" s="47">
        <f>IFERROR(IF(MATCH(338,$V$2:$V$362,0)&gt;0,338,""),"")</f>
        <v>338</v>
      </c>
      <c r="C342" s="6" t="str">
        <f>IFERROR(INDEX($L$2:$Q$362,MATCH(338,$V$2:$V$362,0),2),"")</f>
        <v>Подсумок Black Eagle B-33</v>
      </c>
      <c r="D342" s="50" t="str">
        <f>IFERROR(INDEX($L$2:$Q$362,MATCH(338,$V$2:$V$362,0),3),"")</f>
        <v>Сталкер</v>
      </c>
      <c r="E342" s="47" t="str">
        <f>IFERROR(INDEX($L$2:$Q$362,MATCH(338,$V$2:$V$362,0),4),"")</f>
        <v>Рюкзаки</v>
      </c>
      <c r="I342" s="46"/>
      <c r="L342" s="41">
        <f>'Бартер контейнеры и сумки'!A129</f>
        <v>19</v>
      </c>
      <c r="M342" s="41" t="str">
        <f>'Бартер контейнеры и сумки'!C129</f>
        <v>Контейнер «Берлога-5»</v>
      </c>
      <c r="N342" s="41" t="str">
        <f>'Бартер контейнеры и сумки'!D129</f>
        <v>Сталкер</v>
      </c>
      <c r="O342" s="41" t="str">
        <f>'Бартер контейнеры и сумки'!E129</f>
        <v>Контейнеры</v>
      </c>
      <c r="P342" s="41" t="str">
        <f t="shared" si="17"/>
        <v>Контейнеры</v>
      </c>
      <c r="Q342" s="42">
        <f>IF(ISNUMBER('Бартер контейнеры и сумки'!G134), 'Бартер контейнеры и сумки'!G134, "")</f>
        <v>126000</v>
      </c>
      <c r="R342" s="43">
        <v>1</v>
      </c>
      <c r="S342" s="41" t="s">
        <v>427</v>
      </c>
      <c r="T342" s="41" t="s">
        <v>810</v>
      </c>
      <c r="U342" s="44">
        <f t="shared" si="16"/>
        <v>1</v>
      </c>
      <c r="V342" s="44">
        <f>IF(U342=1,SUM($U$2:U342),"")</f>
        <v>341</v>
      </c>
    </row>
    <row r="343" spans="2:22">
      <c r="B343" s="47">
        <f>IFERROR(IF(MATCH(339,$V$2:$V$362,0)&gt;0,339,""),"")</f>
        <v>339</v>
      </c>
      <c r="C343" s="6" t="str">
        <f>IFERROR(INDEX($L$2:$Q$362,MATCH(339,$V$2:$V$362,0),2),"")</f>
        <v>Штурмовой рюкзак Tri-Zip</v>
      </c>
      <c r="D343" s="50" t="str">
        <f>IFERROR(INDEX($L$2:$Q$362,MATCH(339,$V$2:$V$362,0),3),"")</f>
        <v>Сталкер</v>
      </c>
      <c r="E343" s="47" t="str">
        <f>IFERROR(INDEX($L$2:$Q$362,MATCH(339,$V$2:$V$362,0),4),"")</f>
        <v>Рюкзаки</v>
      </c>
      <c r="I343" s="46"/>
      <c r="L343" s="41">
        <f>'Бартер контейнеры и сумки'!A136</f>
        <v>20</v>
      </c>
      <c r="M343" s="41" t="str">
        <f>'Бартер контейнеры и сумки'!C136</f>
        <v>Рюкзак NPA</v>
      </c>
      <c r="N343" s="41" t="str">
        <f>'Бартер контейнеры и сумки'!D136</f>
        <v>Сталкер</v>
      </c>
      <c r="O343" s="41" t="str">
        <f>'Бартер контейнеры и сумки'!E136</f>
        <v>Рюкзаки</v>
      </c>
      <c r="P343" s="41" t="str">
        <f t="shared" si="17"/>
        <v>Контейнеры</v>
      </c>
      <c r="Q343" s="42">
        <f>IF(ISNUMBER('Бартер контейнеры и сумки'!G141), 'Бартер контейнеры и сумки'!G141, "")</f>
        <v>126000</v>
      </c>
      <c r="R343" s="43">
        <v>1</v>
      </c>
      <c r="S343" s="41" t="s">
        <v>428</v>
      </c>
      <c r="T343" s="41" t="s">
        <v>811</v>
      </c>
      <c r="U343" s="44">
        <f t="shared" si="16"/>
        <v>1</v>
      </c>
      <c r="V343" s="44">
        <f>IF(U343=1,SUM($U$2:U343),"")</f>
        <v>342</v>
      </c>
    </row>
    <row r="344" spans="2:22">
      <c r="B344" s="47">
        <f>IFERROR(IF(MATCH(340,$V$2:$V$362,0)&gt;0,340,""),"")</f>
        <v>340</v>
      </c>
      <c r="C344" s="6" t="str">
        <f>IFERROR(INDEX($L$2:$Q$362,MATCH(340,$V$2:$V$362,0),2),"")</f>
        <v>Контейнер «КЗС-М»</v>
      </c>
      <c r="D344" s="50" t="str">
        <f>IFERROR(INDEX($L$2:$Q$362,MATCH(340,$V$2:$V$362,0),3),"")</f>
        <v>Сталкер</v>
      </c>
      <c r="E344" s="47" t="str">
        <f>IFERROR(INDEX($L$2:$Q$362,MATCH(340,$V$2:$V$362,0),4),"")</f>
        <v>Контейнеры</v>
      </c>
      <c r="I344" s="46"/>
      <c r="L344" s="41">
        <f>'Бартер контейнеры и сумки'!A143</f>
        <v>21</v>
      </c>
      <c r="M344" s="41" t="str">
        <f>'Бартер контейнеры и сумки'!C143</f>
        <v>Контейнер «Сота»</v>
      </c>
      <c r="N344" s="41" t="str">
        <f>'Бартер контейнеры и сумки'!D143</f>
        <v>Сталкер</v>
      </c>
      <c r="O344" s="41" t="str">
        <f>'Бартер контейнеры и сумки'!E143</f>
        <v>Контейнеры</v>
      </c>
      <c r="P344" s="41" t="str">
        <f t="shared" si="17"/>
        <v>Контейнеры</v>
      </c>
      <c r="Q344" s="42">
        <f>IF(ISNUMBER('Бартер контейнеры и сумки'!G148), 'Бартер контейнеры и сумки'!G148, "")</f>
        <v>126000</v>
      </c>
      <c r="R344" s="43">
        <v>1</v>
      </c>
      <c r="S344" s="41" t="s">
        <v>429</v>
      </c>
      <c r="T344" s="41" t="s">
        <v>812</v>
      </c>
      <c r="U344" s="44">
        <f t="shared" si="16"/>
        <v>1</v>
      </c>
      <c r="V344" s="44">
        <f>IF(U344=1,SUM($U$2:U344),"")</f>
        <v>343</v>
      </c>
    </row>
    <row r="345" spans="2:22">
      <c r="B345" s="47">
        <f>IFERROR(IF(MATCH(341,$V$2:$V$362,0)&gt;0,341,""),"")</f>
        <v>341</v>
      </c>
      <c r="C345" s="6" t="str">
        <f>IFERROR(INDEX($L$2:$Q$362,MATCH(341,$V$2:$V$362,0),2),"")</f>
        <v>Контейнер «Берлога-5»</v>
      </c>
      <c r="D345" s="50" t="str">
        <f>IFERROR(INDEX($L$2:$Q$362,MATCH(341,$V$2:$V$362,0),3),"")</f>
        <v>Сталкер</v>
      </c>
      <c r="E345" s="47" t="str">
        <f>IFERROR(INDEX($L$2:$Q$362,MATCH(341,$V$2:$V$362,0),4),"")</f>
        <v>Контейнеры</v>
      </c>
      <c r="I345" s="46"/>
      <c r="L345" s="41">
        <f>'Бартер контейнеры и сумки'!A150</f>
        <v>22</v>
      </c>
      <c r="M345" s="41" t="str">
        <f>'Бартер контейнеры и сумки'!C150</f>
        <v>Контейнер «Кега»</v>
      </c>
      <c r="N345" s="41" t="str">
        <f>'Бартер контейнеры и сумки'!D150</f>
        <v>Сталкер</v>
      </c>
      <c r="O345" s="41" t="str">
        <f>'Бартер контейнеры и сумки'!E150</f>
        <v>Контейнеры</v>
      </c>
      <c r="P345" s="41" t="str">
        <f t="shared" si="17"/>
        <v>Контейнеры</v>
      </c>
      <c r="Q345" s="42">
        <f>IF(ISNUMBER('Бартер контейнеры и сумки'!G155), 'Бартер контейнеры и сумки'!G155, "")</f>
        <v>126000</v>
      </c>
      <c r="R345" s="43">
        <v>1</v>
      </c>
      <c r="S345" s="41" t="s">
        <v>430</v>
      </c>
      <c r="T345" s="41" t="s">
        <v>813</v>
      </c>
      <c r="U345" s="44">
        <f t="shared" si="16"/>
        <v>1</v>
      </c>
      <c r="V345" s="44">
        <f>IF(U345=1,SUM($U$2:U345),"")</f>
        <v>344</v>
      </c>
    </row>
    <row r="346" spans="2:22">
      <c r="B346" s="47">
        <f>IFERROR(IF(MATCH(342,$V$2:$V$362,0)&gt;0,342,""),"")</f>
        <v>342</v>
      </c>
      <c r="C346" s="6" t="str">
        <f>IFERROR(INDEX($L$2:$Q$362,MATCH(342,$V$2:$V$362,0),2),"")</f>
        <v>Рюкзак NPA</v>
      </c>
      <c r="D346" s="50" t="str">
        <f>IFERROR(INDEX($L$2:$Q$362,MATCH(342,$V$2:$V$362,0),3),"")</f>
        <v>Сталкер</v>
      </c>
      <c r="E346" s="47" t="str">
        <f>IFERROR(INDEX($L$2:$Q$362,MATCH(342,$V$2:$V$362,0),4),"")</f>
        <v>Рюкзаки</v>
      </c>
      <c r="I346" s="46"/>
      <c r="L346" s="41">
        <f>'Бартер контейнеры и сумки'!A157</f>
        <v>23</v>
      </c>
      <c r="M346" s="41" t="str">
        <f>'Бартер контейнеры и сумки'!C157</f>
        <v>Поясная сумка PROTECT 3B</v>
      </c>
      <c r="N346" s="41" t="str">
        <f>'Бартер контейнеры и сумки'!D157</f>
        <v>Сталкер</v>
      </c>
      <c r="O346" s="41" t="str">
        <f>'Бартер контейнеры и сумки'!E157</f>
        <v>Рюкзаки</v>
      </c>
      <c r="P346" s="41" t="str">
        <f t="shared" si="17"/>
        <v>Контейнеры</v>
      </c>
      <c r="Q346" s="42">
        <f>IF(ISNUMBER('Бартер контейнеры и сумки'!G162), 'Бартер контейнеры и сумки'!G162, "")</f>
        <v>25000</v>
      </c>
      <c r="R346" s="43">
        <v>2</v>
      </c>
      <c r="S346" s="41" t="s">
        <v>431</v>
      </c>
      <c r="T346" s="41" t="s">
        <v>814</v>
      </c>
      <c r="U346" s="44">
        <f t="shared" si="16"/>
        <v>1</v>
      </c>
      <c r="V346" s="44">
        <f>IF(U346=1,SUM($U$2:U346),"")</f>
        <v>345</v>
      </c>
    </row>
    <row r="347" spans="2:22">
      <c r="B347" s="47">
        <f>IFERROR(IF(MATCH(343,$V$2:$V$362,0)&gt;0,343,""),"")</f>
        <v>343</v>
      </c>
      <c r="C347" s="6" t="str">
        <f>IFERROR(INDEX($L$2:$Q$362,MATCH(343,$V$2:$V$362,0),2),"")</f>
        <v>Контейнер «Сота»</v>
      </c>
      <c r="D347" s="50" t="str">
        <f>IFERROR(INDEX($L$2:$Q$362,MATCH(343,$V$2:$V$362,0),3),"")</f>
        <v>Сталкер</v>
      </c>
      <c r="E347" s="47" t="str">
        <f>IFERROR(INDEX($L$2:$Q$362,MATCH(343,$V$2:$V$362,0),4),"")</f>
        <v>Контейнеры</v>
      </c>
      <c r="I347" s="46"/>
      <c r="L347" s="41">
        <f>'Бартер контейнеры и сумки'!A164</f>
        <v>24</v>
      </c>
      <c r="M347" s="41" t="str">
        <f>'Бартер контейнеры и сумки'!C164</f>
        <v>Контейнер «КЗС-2У»</v>
      </c>
      <c r="N347" s="41" t="str">
        <f>'Бартер контейнеры и сумки'!D164</f>
        <v>Сталкер</v>
      </c>
      <c r="O347" s="41" t="str">
        <f>'Бартер контейнеры и сумки'!E164</f>
        <v>Контейнеры</v>
      </c>
      <c r="P347" s="41" t="str">
        <f t="shared" si="17"/>
        <v>Контейнеры</v>
      </c>
      <c r="Q347" s="42">
        <f>IF(ISNUMBER('Бартер контейнеры и сумки'!G169), 'Бартер контейнеры и сумки'!G169, "")</f>
        <v>25000</v>
      </c>
      <c r="R347" s="43">
        <v>2</v>
      </c>
      <c r="S347" s="41" t="s">
        <v>432</v>
      </c>
      <c r="T347" s="41" t="s">
        <v>815</v>
      </c>
      <c r="U347" s="44">
        <f t="shared" si="16"/>
        <v>1</v>
      </c>
      <c r="V347" s="44">
        <f>IF(U347=1,SUM($U$2:U347),"")</f>
        <v>346</v>
      </c>
    </row>
    <row r="348" spans="2:22">
      <c r="B348" s="47">
        <f>IFERROR(IF(MATCH(344,$V$2:$V$362,0)&gt;0,344,""),"")</f>
        <v>344</v>
      </c>
      <c r="C348" s="6" t="str">
        <f>IFERROR(INDEX($L$2:$Q$362,MATCH(344,$V$2:$V$362,0),2),"")</f>
        <v>Контейнер «Кега»</v>
      </c>
      <c r="D348" s="50" t="str">
        <f>IFERROR(INDEX($L$2:$Q$362,MATCH(344,$V$2:$V$362,0),3),"")</f>
        <v>Сталкер</v>
      </c>
      <c r="E348" s="47" t="str">
        <f>IFERROR(INDEX($L$2:$Q$362,MATCH(344,$V$2:$V$362,0),4),"")</f>
        <v>Контейнеры</v>
      </c>
      <c r="I348" s="46"/>
      <c r="L348" s="41">
        <f>'Бартер контейнеры и сумки'!A171</f>
        <v>25</v>
      </c>
      <c r="M348" s="41" t="str">
        <f>'Бартер контейнеры и сумки'!C171</f>
        <v>Контейнер «Кокон-У»</v>
      </c>
      <c r="N348" s="41" t="str">
        <f>'Бартер контейнеры и сумки'!D171</f>
        <v>Сталкер</v>
      </c>
      <c r="O348" s="41" t="str">
        <f>'Бартер контейнеры и сумки'!E171</f>
        <v>Контейнеры</v>
      </c>
      <c r="P348" s="41" t="str">
        <f t="shared" si="17"/>
        <v>Контейнеры</v>
      </c>
      <c r="Q348" s="42">
        <f>IF(ISNUMBER('Бартер контейнеры и сумки'!G176), 'Бартер контейнеры и сумки'!G176, "")</f>
        <v>25000</v>
      </c>
      <c r="R348" s="43">
        <v>2</v>
      </c>
      <c r="S348" s="41" t="s">
        <v>433</v>
      </c>
      <c r="T348" s="41" t="s">
        <v>816</v>
      </c>
      <c r="U348" s="44">
        <f t="shared" si="16"/>
        <v>1</v>
      </c>
      <c r="V348" s="44">
        <f>IF(U348=1,SUM($U$2:U348),"")</f>
        <v>347</v>
      </c>
    </row>
    <row r="349" spans="2:22">
      <c r="B349" s="47">
        <f>IFERROR(IF(MATCH(345,$V$2:$V$362,0)&gt;0,345,""),"")</f>
        <v>345</v>
      </c>
      <c r="C349" s="6" t="str">
        <f>IFERROR(INDEX($L$2:$Q$362,MATCH(345,$V$2:$V$362,0),2),"")</f>
        <v>Поясная сумка PROTECT 3B</v>
      </c>
      <c r="D349" s="50" t="str">
        <f>IFERROR(INDEX($L$2:$Q$362,MATCH(345,$V$2:$V$362,0),3),"")</f>
        <v>Сталкер</v>
      </c>
      <c r="E349" s="47" t="str">
        <f>IFERROR(INDEX($L$2:$Q$362,MATCH(345,$V$2:$V$362,0),4),"")</f>
        <v>Рюкзаки</v>
      </c>
      <c r="I349" s="46"/>
      <c r="L349" s="41">
        <f>'Бартер контейнеры и сумки'!A178</f>
        <v>26</v>
      </c>
      <c r="M349" s="41" t="str">
        <f>'Бартер контейнеры и сумки'!C178</f>
        <v>Рюкзак MBSS</v>
      </c>
      <c r="N349" s="41" t="str">
        <f>'Бартер контейнеры и сумки'!D178</f>
        <v>Сталкер</v>
      </c>
      <c r="O349" s="41" t="str">
        <f>'Бартер контейнеры и сумки'!E178</f>
        <v>Рюкзаки</v>
      </c>
      <c r="P349" s="41" t="str">
        <f t="shared" si="17"/>
        <v>Контейнеры</v>
      </c>
      <c r="Q349" s="42">
        <f>IF(ISNUMBER('Бартер контейнеры и сумки'!G183), 'Бартер контейнеры и сумки'!G183, "")</f>
        <v>25000</v>
      </c>
      <c r="R349" s="43">
        <v>2</v>
      </c>
      <c r="S349" s="41" t="s">
        <v>434</v>
      </c>
      <c r="T349" s="41" t="s">
        <v>817</v>
      </c>
      <c r="U349" s="44">
        <f t="shared" si="16"/>
        <v>1</v>
      </c>
      <c r="V349" s="44">
        <f>IF(U349=1,SUM($U$2:U349),"")</f>
        <v>348</v>
      </c>
    </row>
    <row r="350" spans="2:22">
      <c r="B350" s="47">
        <f>IFERROR(IF(MATCH(346,$V$2:$V$362,0)&gt;0,346,""),"")</f>
        <v>346</v>
      </c>
      <c r="C350" s="6" t="str">
        <f>IFERROR(INDEX($L$2:$Q$362,MATCH(346,$V$2:$V$362,0),2),"")</f>
        <v>Контейнер «КЗС-2У»</v>
      </c>
      <c r="D350" s="50" t="str">
        <f>IFERROR(INDEX($L$2:$Q$362,MATCH(346,$V$2:$V$362,0),3),"")</f>
        <v>Сталкер</v>
      </c>
      <c r="E350" s="47" t="str">
        <f>IFERROR(INDEX($L$2:$Q$362,MATCH(346,$V$2:$V$362,0),4),"")</f>
        <v>Контейнеры</v>
      </c>
      <c r="I350" s="46"/>
      <c r="L350" s="41">
        <f>'Бартер контейнеры и сумки'!A185</f>
        <v>27</v>
      </c>
      <c r="M350" s="41" t="str">
        <f>'Бартер контейнеры и сумки'!C185</f>
        <v>Контейнер «Берлога-4У»</v>
      </c>
      <c r="N350" s="41" t="str">
        <f>'Бартер контейнеры и сумки'!D185</f>
        <v>Сталкер</v>
      </c>
      <c r="O350" s="41" t="str">
        <f>'Бартер контейнеры и сумки'!E185</f>
        <v>Контейнеры</v>
      </c>
      <c r="P350" s="41" t="str">
        <f t="shared" si="17"/>
        <v>Контейнеры</v>
      </c>
      <c r="Q350" s="42">
        <f>IF(ISNUMBER('Бартер контейнеры и сумки'!G190), 'Бартер контейнеры и сумки'!G190, "")</f>
        <v>25000</v>
      </c>
      <c r="R350" s="43">
        <v>2</v>
      </c>
      <c r="S350" s="41" t="s">
        <v>435</v>
      </c>
      <c r="T350" s="41" t="s">
        <v>818</v>
      </c>
      <c r="U350" s="44">
        <f t="shared" si="16"/>
        <v>1</v>
      </c>
      <c r="V350" s="44">
        <f>IF(U350=1,SUM($U$2:U350),"")</f>
        <v>349</v>
      </c>
    </row>
    <row r="351" spans="2:22">
      <c r="B351" s="47">
        <f>IFERROR(IF(MATCH(347,$V$2:$V$362,0)&gt;0,347,""),"")</f>
        <v>347</v>
      </c>
      <c r="C351" s="6" t="str">
        <f>IFERROR(INDEX($L$2:$Q$362,MATCH(347,$V$2:$V$362,0),2),"")</f>
        <v>Контейнер «Кокон-У»</v>
      </c>
      <c r="D351" s="50" t="str">
        <f>IFERROR(INDEX($L$2:$Q$362,MATCH(347,$V$2:$V$362,0),3),"")</f>
        <v>Сталкер</v>
      </c>
      <c r="E351" s="47" t="str">
        <f>IFERROR(INDEX($L$2:$Q$362,MATCH(347,$V$2:$V$362,0),4),"")</f>
        <v>Контейнеры</v>
      </c>
      <c r="I351" s="46"/>
      <c r="L351" s="41">
        <f>'Бартер контейнеры и сумки'!A192</f>
        <v>28</v>
      </c>
      <c r="M351" s="41" t="str">
        <f>'Бартер контейнеры и сумки'!C192</f>
        <v>Контейнер «Бидон-У»</v>
      </c>
      <c r="N351" s="41" t="str">
        <f>'Бартер контейнеры и сумки'!D192</f>
        <v>Сталкер</v>
      </c>
      <c r="O351" s="41" t="str">
        <f>'Бартер контейнеры и сумки'!E192</f>
        <v>Контейнеры</v>
      </c>
      <c r="P351" s="41" t="str">
        <f t="shared" si="17"/>
        <v>Контейнеры</v>
      </c>
      <c r="Q351" s="42">
        <f>IF(ISNUMBER('Бартер контейнеры и сумки'!G197), 'Бартер контейнеры и сумки'!G197, "")</f>
        <v>25000</v>
      </c>
      <c r="R351" s="43">
        <v>2</v>
      </c>
      <c r="S351" s="41" t="s">
        <v>436</v>
      </c>
      <c r="T351" s="41" t="s">
        <v>819</v>
      </c>
      <c r="U351" s="44">
        <f t="shared" si="16"/>
        <v>1</v>
      </c>
      <c r="V351" s="44">
        <f>IF(U351=1,SUM($U$2:U351),"")</f>
        <v>350</v>
      </c>
    </row>
    <row r="352" spans="2:22">
      <c r="B352" s="47">
        <f>IFERROR(IF(MATCH(348,$V$2:$V$362,0)&gt;0,348,""),"")</f>
        <v>348</v>
      </c>
      <c r="C352" s="6" t="str">
        <f>IFERROR(INDEX($L$2:$Q$362,MATCH(348,$V$2:$V$362,0),2),"")</f>
        <v>Рюкзак MBSS</v>
      </c>
      <c r="D352" s="50" t="str">
        <f>IFERROR(INDEX($L$2:$Q$362,MATCH(348,$V$2:$V$362,0),3),"")</f>
        <v>Сталкер</v>
      </c>
      <c r="E352" s="47" t="str">
        <f>IFERROR(INDEX($L$2:$Q$362,MATCH(348,$V$2:$V$362,0),4),"")</f>
        <v>Рюкзаки</v>
      </c>
      <c r="I352" s="46"/>
      <c r="L352" s="41">
        <f>'Бартер контейнеры и сумки'!A199</f>
        <v>29</v>
      </c>
      <c r="M352" s="41" t="str">
        <f>'Бартер контейнеры и сумки'!C199</f>
        <v>Рюкзак «Хелбой-У»</v>
      </c>
      <c r="N352" s="41" t="str">
        <f>'Бартер контейнеры и сумки'!D199</f>
        <v>Сталкер</v>
      </c>
      <c r="O352" s="41" t="str">
        <f>'Бартер контейнеры и сумки'!E199</f>
        <v>Рюкзаки</v>
      </c>
      <c r="P352" s="41" t="str">
        <f t="shared" si="17"/>
        <v>Контейнеры</v>
      </c>
      <c r="Q352" s="42">
        <f>IF(ISNUMBER('Бартер контейнеры и сумки'!G204), 'Бартер контейнеры и сумки'!G204, "")</f>
        <v>25000</v>
      </c>
      <c r="R352" s="43">
        <v>2</v>
      </c>
      <c r="S352" s="41" t="s">
        <v>437</v>
      </c>
      <c r="T352" s="41" t="s">
        <v>820</v>
      </c>
      <c r="U352" s="44">
        <f t="shared" si="16"/>
        <v>1</v>
      </c>
      <c r="V352" s="44">
        <f>IF(U352=1,SUM($U$2:U352),"")</f>
        <v>351</v>
      </c>
    </row>
    <row r="353" spans="2:22">
      <c r="B353" s="47">
        <f>IFERROR(IF(MATCH(349,$V$2:$V$362,0)&gt;0,349,""),"")</f>
        <v>349</v>
      </c>
      <c r="C353" s="6" t="str">
        <f>IFERROR(INDEX($L$2:$Q$362,MATCH(349,$V$2:$V$362,0),2),"")</f>
        <v>Контейнер «Берлога-4У»</v>
      </c>
      <c r="D353" s="50" t="str">
        <f>IFERROR(INDEX($L$2:$Q$362,MATCH(349,$V$2:$V$362,0),3),"")</f>
        <v>Сталкер</v>
      </c>
      <c r="E353" s="47" t="str">
        <f>IFERROR(INDEX($L$2:$Q$362,MATCH(349,$V$2:$V$362,0),4),"")</f>
        <v>Контейнеры</v>
      </c>
      <c r="I353" s="46"/>
      <c r="L353" s="41">
        <f>'Бартер контейнеры и сумки'!A206</f>
        <v>30</v>
      </c>
      <c r="M353" s="41" t="str">
        <f>'Бартер контейнеры и сумки'!C206</f>
        <v>Контейнер «Бидон»</v>
      </c>
      <c r="N353" s="41" t="str">
        <f>'Бартер контейнеры и сумки'!D206</f>
        <v>Новичок</v>
      </c>
      <c r="O353" s="41" t="str">
        <f>'Бартер контейнеры и сумки'!E206</f>
        <v>Контейнеры</v>
      </c>
      <c r="P353" s="41" t="str">
        <f t="shared" si="17"/>
        <v>Контейнеры</v>
      </c>
      <c r="Q353" s="42">
        <f>IF(ISNUMBER('Бартер контейнеры и сумки'!G211), 'Бартер контейнеры и сумки'!G211, "")</f>
        <v>6600</v>
      </c>
      <c r="R353" s="43">
        <v>1</v>
      </c>
      <c r="S353" s="41"/>
      <c r="T353" s="41" t="s">
        <v>821</v>
      </c>
      <c r="U353" s="44">
        <f t="shared" si="16"/>
        <v>1</v>
      </c>
      <c r="V353" s="44">
        <f>IF(U353=1,SUM($U$2:U353),"")</f>
        <v>352</v>
      </c>
    </row>
    <row r="354" spans="2:22">
      <c r="B354" s="47">
        <f>IFERROR(IF(MATCH(350,$V$2:$V$362,0)&gt;0,350,""),"")</f>
        <v>350</v>
      </c>
      <c r="C354" s="6" t="str">
        <f>IFERROR(INDEX($L$2:$Q$362,MATCH(350,$V$2:$V$362,0),2),"")</f>
        <v>Контейнер «Бидон-У»</v>
      </c>
      <c r="D354" s="50" t="str">
        <f>IFERROR(INDEX($L$2:$Q$362,MATCH(350,$V$2:$V$362,0),3),"")</f>
        <v>Сталкер</v>
      </c>
      <c r="E354" s="47" t="str">
        <f>IFERROR(INDEX($L$2:$Q$362,MATCH(350,$V$2:$V$362,0),4),"")</f>
        <v>Контейнеры</v>
      </c>
      <c r="I354" s="46"/>
      <c r="L354" s="41">
        <f>'Бартер контейнеры и сумки'!A213</f>
        <v>31</v>
      </c>
      <c r="M354" s="41" t="str">
        <f>'Бартер контейнеры и сумки'!C213</f>
        <v>Контейнер «Кокон»</v>
      </c>
      <c r="N354" s="41" t="str">
        <f>'Бартер контейнеры и сумки'!D213</f>
        <v>Новичок</v>
      </c>
      <c r="O354" s="41" t="str">
        <f>'Бартер контейнеры и сумки'!E213</f>
        <v>Контейнеры</v>
      </c>
      <c r="P354" s="41" t="str">
        <f t="shared" si="17"/>
        <v>Контейнеры</v>
      </c>
      <c r="Q354" s="42">
        <f>IF(ISNUMBER('Бартер контейнеры и сумки'!G218), 'Бартер контейнеры и сумки'!G218, "")</f>
        <v>6600</v>
      </c>
      <c r="R354" s="43">
        <v>1</v>
      </c>
      <c r="S354" s="41"/>
      <c r="T354" s="41" t="s">
        <v>822</v>
      </c>
      <c r="U354" s="44">
        <f t="shared" si="16"/>
        <v>1</v>
      </c>
      <c r="V354" s="44">
        <f>IF(U354=1,SUM($U$2:U354),"")</f>
        <v>353</v>
      </c>
    </row>
    <row r="355" spans="2:22">
      <c r="B355" s="47">
        <f>IFERROR(IF(MATCH(351,$V$2:$V$362,0)&gt;0,351,""),"")</f>
        <v>351</v>
      </c>
      <c r="C355" s="6" t="str">
        <f>IFERROR(INDEX($L$2:$Q$362,MATCH(351,$V$2:$V$362,0),2),"")</f>
        <v>Рюкзак «Хелбой-У»</v>
      </c>
      <c r="D355" s="50" t="str">
        <f>IFERROR(INDEX($L$2:$Q$362,MATCH(351,$V$2:$V$362,0),3),"")</f>
        <v>Сталкер</v>
      </c>
      <c r="E355" s="47" t="str">
        <f>IFERROR(INDEX($L$2:$Q$362,MATCH(351,$V$2:$V$362,0),4),"")</f>
        <v>Рюкзаки</v>
      </c>
      <c r="I355" s="46"/>
      <c r="L355" s="41">
        <f>'Бартер контейнеры и сумки'!A220</f>
        <v>32</v>
      </c>
      <c r="M355" s="41" t="str">
        <f>'Бартер контейнеры и сумки'!C220</f>
        <v>Контейнер «Берлога-4»</v>
      </c>
      <c r="N355" s="41" t="str">
        <f>'Бартер контейнеры и сумки'!D220</f>
        <v>Новичок</v>
      </c>
      <c r="O355" s="41" t="str">
        <f>'Бартер контейнеры и сумки'!E220</f>
        <v>Контейнеры</v>
      </c>
      <c r="P355" s="41" t="str">
        <f t="shared" si="17"/>
        <v>Контейнеры</v>
      </c>
      <c r="Q355" s="42">
        <f>IF(ISNUMBER('Бартер контейнеры и сумки'!G225), 'Бартер контейнеры и сумки'!G225, "")</f>
        <v>6600</v>
      </c>
      <c r="R355" s="43">
        <v>1</v>
      </c>
      <c r="S355" s="41"/>
      <c r="T355" s="41" t="s">
        <v>823</v>
      </c>
      <c r="U355" s="44">
        <f t="shared" si="16"/>
        <v>1</v>
      </c>
      <c r="V355" s="44">
        <f>IF(U355=1,SUM($U$2:U355),"")</f>
        <v>354</v>
      </c>
    </row>
    <row r="356" spans="2:22">
      <c r="B356" s="47">
        <f>IFERROR(IF(MATCH(352,$V$2:$V$362,0)&gt;0,352,""),"")</f>
        <v>352</v>
      </c>
      <c r="C356" s="7" t="str">
        <f>IFERROR(INDEX($L$2:$Q$362,MATCH(352,$V$2:$V$362,0),2),"")</f>
        <v>Контейнер «Бидон»</v>
      </c>
      <c r="D356" s="51" t="str">
        <f>IFERROR(INDEX($L$2:$Q$362,MATCH(352,$V$2:$V$362,0),3),"")</f>
        <v>Новичок</v>
      </c>
      <c r="E356" s="47" t="str">
        <f>IFERROR(INDEX($L$2:$Q$362,MATCH(352,$V$2:$V$362,0),4),"")</f>
        <v>Контейнеры</v>
      </c>
      <c r="I356" s="46"/>
      <c r="L356" s="41">
        <f>'Бартер контейнеры и сумки'!A227</f>
        <v>33</v>
      </c>
      <c r="M356" s="41" t="str">
        <f>'Бартер контейнеры и сумки'!C227</f>
        <v>Рюкзак «Хелбой»</v>
      </c>
      <c r="N356" s="41" t="str">
        <f>'Бартер контейнеры и сумки'!D227</f>
        <v>Новичок</v>
      </c>
      <c r="O356" s="41" t="str">
        <f>'Бартер контейнеры и сумки'!E227</f>
        <v>Рюкзаки</v>
      </c>
      <c r="P356" s="41" t="str">
        <f t="shared" si="17"/>
        <v>Контейнеры</v>
      </c>
      <c r="Q356" s="42">
        <f>IF(ISNUMBER('Бартер контейнеры и сумки'!G232), 'Бартер контейнеры и сумки'!G232, "")</f>
        <v>6600</v>
      </c>
      <c r="R356" s="43">
        <v>1</v>
      </c>
      <c r="S356" s="41"/>
      <c r="T356" s="41" t="s">
        <v>824</v>
      </c>
      <c r="U356" s="44">
        <f t="shared" si="16"/>
        <v>1</v>
      </c>
      <c r="V356" s="44">
        <f>IF(U356=1,SUM($U$2:U356),"")</f>
        <v>355</v>
      </c>
    </row>
    <row r="357" spans="2:22">
      <c r="B357" s="47">
        <f>IFERROR(IF(MATCH(353,$V$2:$V$362,0)&gt;0,353,""),"")</f>
        <v>353</v>
      </c>
      <c r="C357" s="7" t="str">
        <f>IFERROR(INDEX($L$2:$Q$362,MATCH(353,$V$2:$V$362,0),2),"")</f>
        <v>Контейнер «Кокон»</v>
      </c>
      <c r="D357" s="51" t="str">
        <f>IFERROR(INDEX($L$2:$Q$362,MATCH(353,$V$2:$V$362,0),3),"")</f>
        <v>Новичок</v>
      </c>
      <c r="E357" s="47" t="str">
        <f>IFERROR(INDEX($L$2:$Q$362,MATCH(353,$V$2:$V$362,0),4),"")</f>
        <v>Контейнеры</v>
      </c>
      <c r="I357" s="46"/>
      <c r="L357" s="41">
        <f>'Бартер контейнеры и сумки'!A234</f>
        <v>34</v>
      </c>
      <c r="M357" s="41" t="str">
        <f>'Бартер контейнеры и сумки'!C234</f>
        <v>Контейнер «КЗС-2»</v>
      </c>
      <c r="N357" s="41" t="str">
        <f>'Бартер контейнеры и сумки'!D234</f>
        <v>Новичок</v>
      </c>
      <c r="O357" s="41" t="str">
        <f>'Бартер контейнеры и сумки'!E234</f>
        <v>Контейнеры</v>
      </c>
      <c r="P357" s="41" t="str">
        <f t="shared" si="17"/>
        <v>Контейнеры</v>
      </c>
      <c r="Q357" s="42">
        <f>IF(ISNUMBER('Бартер контейнеры и сумки'!G239), 'Бартер контейнеры и сумки'!G239, "")</f>
        <v>5100</v>
      </c>
      <c r="R357" s="43">
        <v>2</v>
      </c>
      <c r="S357" s="41" t="s">
        <v>438</v>
      </c>
      <c r="T357" s="41" t="s">
        <v>825</v>
      </c>
      <c r="U357" s="44">
        <f t="shared" si="16"/>
        <v>1</v>
      </c>
      <c r="V357" s="44">
        <f>IF(U357=1,SUM($U$2:U357),"")</f>
        <v>356</v>
      </c>
    </row>
    <row r="358" spans="2:22">
      <c r="B358" s="47">
        <f>IFERROR(IF(MATCH(354,$V$2:$V$362,0)&gt;0,354,""),"")</f>
        <v>354</v>
      </c>
      <c r="C358" s="7" t="str">
        <f>IFERROR(INDEX($L$2:$Q$362,MATCH(354,$V$2:$V$362,0),2),"")</f>
        <v>Контейнер «Берлога-4»</v>
      </c>
      <c r="D358" s="51" t="str">
        <f>IFERROR(INDEX($L$2:$Q$362,MATCH(354,$V$2:$V$362,0),3),"")</f>
        <v>Новичок</v>
      </c>
      <c r="E358" s="47" t="str">
        <f>IFERROR(INDEX($L$2:$Q$362,MATCH(354,$V$2:$V$362,0),4),"")</f>
        <v>Контейнеры</v>
      </c>
      <c r="I358" s="46"/>
      <c r="L358" s="41">
        <f>'Бартер контейнеры и сумки'!A241</f>
        <v>35</v>
      </c>
      <c r="M358" s="41" t="str">
        <f>'Бартер контейнеры и сумки'!C241</f>
        <v>Спортивная сумка</v>
      </c>
      <c r="N358" s="41" t="str">
        <f>'Бартер контейнеры и сумки'!D241</f>
        <v>Новичок</v>
      </c>
      <c r="O358" s="41" t="str">
        <f>'Бартер контейнеры и сумки'!E241</f>
        <v>Рюкзаки</v>
      </c>
      <c r="P358" s="41" t="str">
        <f t="shared" si="17"/>
        <v>Контейнеры</v>
      </c>
      <c r="Q358" s="42">
        <f>IF(ISNUMBER('Бартер контейнеры и сумки'!G246), 'Бартер контейнеры и сумки'!G246, "")</f>
        <v>5100</v>
      </c>
      <c r="R358" s="43">
        <v>2</v>
      </c>
      <c r="S358" s="41" t="s">
        <v>439</v>
      </c>
      <c r="T358" s="41" t="s">
        <v>826</v>
      </c>
      <c r="U358" s="44">
        <f t="shared" si="16"/>
        <v>1</v>
      </c>
      <c r="V358" s="44">
        <f>IF(U358=1,SUM($U$2:U358),"")</f>
        <v>357</v>
      </c>
    </row>
    <row r="359" spans="2:22">
      <c r="B359" s="47">
        <f>IFERROR(IF(MATCH(355,$V$2:$V$362,0)&gt;0,355,""),"")</f>
        <v>355</v>
      </c>
      <c r="C359" s="7" t="str">
        <f>IFERROR(INDEX($L$2:$Q$362,MATCH(355,$V$2:$V$362,0),2),"")</f>
        <v>Рюкзак «Хелбой»</v>
      </c>
      <c r="D359" s="51" t="str">
        <f>IFERROR(INDEX($L$2:$Q$362,MATCH(355,$V$2:$V$362,0),3),"")</f>
        <v>Новичок</v>
      </c>
      <c r="E359" s="47" t="str">
        <f>IFERROR(INDEX($L$2:$Q$362,MATCH(355,$V$2:$V$362,0),4),"")</f>
        <v>Рюкзаки</v>
      </c>
      <c r="I359" s="46"/>
      <c r="L359" s="41">
        <f>'Бартер контейнеры и сумки'!A248</f>
        <v>36</v>
      </c>
      <c r="M359" s="41" t="str">
        <f>'Бартер контейнеры и сумки'!C248</f>
        <v>Рюкзак Errand Junior</v>
      </c>
      <c r="N359" s="41" t="str">
        <f>'Бартер контейнеры и сумки'!D248</f>
        <v>Новичок</v>
      </c>
      <c r="O359" s="41" t="str">
        <f>'Бартер контейнеры и сумки'!E248</f>
        <v>Рюкзаки</v>
      </c>
      <c r="P359" s="41" t="str">
        <f t="shared" si="17"/>
        <v>Контейнеры</v>
      </c>
      <c r="Q359" s="42">
        <f>IF(ISNUMBER('Бартер контейнеры и сумки'!G253), 'Бартер контейнеры и сумки'!G253, "")</f>
        <v>5100</v>
      </c>
      <c r="R359" s="43">
        <v>2</v>
      </c>
      <c r="S359" s="41" t="s">
        <v>440</v>
      </c>
      <c r="T359" s="41" t="s">
        <v>827</v>
      </c>
      <c r="U359" s="44">
        <f t="shared" si="16"/>
        <v>1</v>
      </c>
      <c r="V359" s="44">
        <f>IF(U359=1,SUM($U$2:U359),"")</f>
        <v>358</v>
      </c>
    </row>
    <row r="360" spans="2:22">
      <c r="B360" s="47">
        <f>IFERROR(IF(MATCH(356,$V$2:$V$362,0)&gt;0,356,""),"")</f>
        <v>356</v>
      </c>
      <c r="C360" s="7" t="str">
        <f>IFERROR(INDEX($L$2:$Q$362,MATCH(356,$V$2:$V$362,0),2),"")</f>
        <v>Контейнер «КЗС-2»</v>
      </c>
      <c r="D360" s="51" t="str">
        <f>IFERROR(INDEX($L$2:$Q$362,MATCH(356,$V$2:$V$362,0),3),"")</f>
        <v>Новичок</v>
      </c>
      <c r="E360" s="47" t="str">
        <f>IFERROR(INDEX($L$2:$Q$362,MATCH(356,$V$2:$V$362,0),4),"")</f>
        <v>Контейнеры</v>
      </c>
      <c r="I360" s="46"/>
      <c r="L360" s="41">
        <f>'Бартер контейнеры и сумки'!A255</f>
        <v>37</v>
      </c>
      <c r="M360" s="41" t="str">
        <f>'Бартер контейнеры и сумки'!C255</f>
        <v>Вещмешок</v>
      </c>
      <c r="N360" s="41" t="str">
        <f>'Бартер контейнеры и сумки'!D255</f>
        <v>Отмычка</v>
      </c>
      <c r="O360" s="41" t="str">
        <f>'Бартер контейнеры и сумки'!E255</f>
        <v>Рюкзаки</v>
      </c>
      <c r="P360" s="41" t="str">
        <f t="shared" si="17"/>
        <v>Контейнеры</v>
      </c>
      <c r="Q360" s="42">
        <f>IF(ISNUMBER('Бартер контейнеры и сумки'!G260), 'Бартер контейнеры и сумки'!G260, "")</f>
        <v>1730</v>
      </c>
      <c r="R360" s="43">
        <v>1</v>
      </c>
      <c r="S360" s="41"/>
      <c r="T360" s="41" t="s">
        <v>828</v>
      </c>
      <c r="U360" s="44">
        <f t="shared" si="16"/>
        <v>1</v>
      </c>
      <c r="V360" s="44">
        <f>IF(U360=1,SUM($U$2:U360),"")</f>
        <v>359</v>
      </c>
    </row>
    <row r="361" spans="2:22">
      <c r="B361" s="47">
        <f>IFERROR(IF(MATCH(357,$V$2:$V$362,0)&gt;0,357,""),"")</f>
        <v>357</v>
      </c>
      <c r="C361" s="7" t="str">
        <f>IFERROR(INDEX($L$2:$Q$362,MATCH(357,$V$2:$V$362,0),2),"")</f>
        <v>Спортивная сумка</v>
      </c>
      <c r="D361" s="51" t="str">
        <f>IFERROR(INDEX($L$2:$Q$362,MATCH(357,$V$2:$V$362,0),3),"")</f>
        <v>Новичок</v>
      </c>
      <c r="E361" s="47" t="str">
        <f>IFERROR(INDEX($L$2:$Q$362,MATCH(357,$V$2:$V$362,0),4),"")</f>
        <v>Рюкзаки</v>
      </c>
      <c r="I361" s="46"/>
      <c r="L361" s="11">
        <f>'Бартер контейнеры и сумки'!A262</f>
        <v>38</v>
      </c>
      <c r="M361" s="11" t="str">
        <f>'Бартер контейнеры и сумки'!C262</f>
        <v>Контейнер «КЗС-1У»</v>
      </c>
      <c r="N361" s="11" t="str">
        <f>'Бартер контейнеры и сумки'!D262</f>
        <v>Отмычка</v>
      </c>
      <c r="O361" s="11" t="str">
        <f>'Бартер контейнеры и сумки'!E262</f>
        <v>Контейнеры</v>
      </c>
      <c r="P361" s="11" t="str">
        <f t="shared" si="17"/>
        <v>Контейнеры</v>
      </c>
      <c r="Q361" s="11">
        <f>IF(ISNUMBER('Бартер контейнеры и сумки'!G267), 'Бартер контейнеры и сумки'!G267, "")</f>
        <v>1730</v>
      </c>
      <c r="R361" s="11">
        <v>1</v>
      </c>
      <c r="T361" s="11" t="s">
        <v>829</v>
      </c>
      <c r="U361" s="11">
        <f t="shared" si="16"/>
        <v>1</v>
      </c>
      <c r="V361" s="11">
        <f>IF(U361=1,SUM($U$2:U361),"")</f>
        <v>360</v>
      </c>
    </row>
    <row r="362" spans="2:22">
      <c r="B362" s="47">
        <f>IFERROR(IF(MATCH(358,$V$2:$V$362,0)&gt;0,358,""),"")</f>
        <v>358</v>
      </c>
      <c r="C362" s="7" t="str">
        <f>IFERROR(INDEX($L$2:$Q$362,MATCH(358,$V$2:$V$362,0),2),"")</f>
        <v>Рюкзак Errand Junior</v>
      </c>
      <c r="D362" s="51" t="str">
        <f>IFERROR(INDEX($L$2:$Q$362,MATCH(358,$V$2:$V$362,0),3),"")</f>
        <v>Новичок</v>
      </c>
      <c r="E362" s="47" t="str">
        <f>IFERROR(INDEX($L$2:$Q$362,MATCH(358,$V$2:$V$362,0),4),"")</f>
        <v>Рюкзаки</v>
      </c>
      <c r="I362" s="46"/>
      <c r="L362" s="41">
        <f>'Бартер контейнеры и сумки'!A269</f>
        <v>39</v>
      </c>
      <c r="M362" s="11" t="str">
        <f>'Бартер контейнеры и сумки'!C269</f>
        <v>Сумка-трансформер</v>
      </c>
      <c r="N362" s="11" t="str">
        <f>'Бартер контейнеры и сумки'!D269</f>
        <v>Отмычка</v>
      </c>
      <c r="O362" s="11" t="str">
        <f>'Бартер контейнеры и сумки'!E269</f>
        <v>Рюкзаки</v>
      </c>
      <c r="P362" s="11" t="str">
        <f t="shared" si="17"/>
        <v>Контейнеры</v>
      </c>
      <c r="Q362" s="11">
        <f>IF(ISNUMBER('Бартер контейнеры и сумки'!G274), 'Бартер контейнеры и сумки'!G274, "")</f>
        <v>1730</v>
      </c>
      <c r="R362" s="11">
        <v>1</v>
      </c>
      <c r="T362" s="11" t="s">
        <v>830</v>
      </c>
      <c r="U362" s="11">
        <f t="shared" si="16"/>
        <v>1</v>
      </c>
      <c r="V362" s="11">
        <f>IF(U362=1,SUM($U$2:U362),"")</f>
        <v>361</v>
      </c>
    </row>
    <row r="363" spans="2:22">
      <c r="B363" s="47">
        <f>IFERROR(IF(MATCH(359,$V$2:$V$362,0)&gt;0,359,""),"")</f>
        <v>359</v>
      </c>
      <c r="C363" s="8" t="str">
        <f>IFERROR(INDEX($L$2:$Q$362,MATCH(359,$V$2:$V$362,0),2),"")</f>
        <v>Вещмешок</v>
      </c>
      <c r="D363" s="52" t="str">
        <f>IFERROR(INDEX($L$2:$Q$362,MATCH(359,$V$2:$V$362,0),3),"")</f>
        <v>Отмычка</v>
      </c>
      <c r="E363" s="47" t="str">
        <f>IFERROR(INDEX($L$2:$Q$362,MATCH(359,$V$2:$V$362,0),4),"")</f>
        <v>Рюкзаки</v>
      </c>
      <c r="I363" s="46"/>
    </row>
    <row r="364" spans="2:22">
      <c r="B364" s="47">
        <f>IFERROR(IF(MATCH(360,$V$2:$V$362,0)&gt;0,360,""),"")</f>
        <v>360</v>
      </c>
      <c r="C364" s="8" t="str">
        <f>IFERROR(INDEX($L$2:$Q$362,MATCH(360,$V$2:$V$362,0),2),"")</f>
        <v>Контейнер «КЗС-1У»</v>
      </c>
      <c r="D364" s="52" t="str">
        <f>IFERROR(INDEX($L$2:$Q$362,MATCH(360,$V$2:$V$362,0),3),"")</f>
        <v>Отмычка</v>
      </c>
      <c r="E364" s="47" t="str">
        <f>IFERROR(INDEX($L$2:$Q$362,MATCH(360,$V$2:$V$362,0),4),"")</f>
        <v>Контейнеры</v>
      </c>
      <c r="I364" s="46"/>
    </row>
    <row r="365" spans="2:22" ht="15" thickBot="1">
      <c r="B365" s="47">
        <f>IFERROR(IF(MATCH(361,$V$2:$V$362,0)&gt;0,361,""),"")</f>
        <v>361</v>
      </c>
      <c r="C365" s="8" t="str">
        <f>IFERROR(INDEX($L$2:$Q$362,MATCH(361,$V$2:$V$362,0),2),"")</f>
        <v>Сумка-трансформер</v>
      </c>
      <c r="D365" s="52" t="str">
        <f>IFERROR(INDEX($L$2:$Q$362,MATCH(361,$V$2:$V$362,0),3),"")</f>
        <v>Отмычка</v>
      </c>
      <c r="E365" s="47" t="str">
        <f>IFERROR(INDEX($L$2:$Q$362,MATCH(361,$V$2:$V$362,0),4),"")</f>
        <v>Рюкзаки</v>
      </c>
      <c r="F365" s="53"/>
      <c r="G365" s="53"/>
      <c r="H365" s="53"/>
      <c r="I365" s="54"/>
    </row>
    <row r="366" spans="2:22" ht="15" thickTop="1"/>
  </sheetData>
  <sheetProtection algorithmName="SHA-512" hashValue="1sfxjTZYfMxjNblupY1gE9b19ehfS670ETyEJycarPXwb43Y/kvMjFFJh5btHnogVGEw4B54ykO4nPNCnfKmkQ==" saltValue="kTX1VrU5+8niCyaPPHBZPw==" spinCount="100000" sheet="1" objects="1" scenarios="1" autoFilter="0"/>
  <mergeCells count="5">
    <mergeCell ref="B1:I1"/>
    <mergeCell ref="B2:C2"/>
    <mergeCell ref="B3:C3"/>
    <mergeCell ref="D2:F2"/>
    <mergeCell ref="D3:F3"/>
  </mergeCells>
  <dataValidations count="2">
    <dataValidation type="list" sqref="D4" xr:uid="{00000000-0002-0000-0500-000002000000}">
      <formula1>"Все,Оружие,Броня,Обвесы,Контейнеры"</formula1>
    </dataValidation>
    <dataValidation type="list" sqref="D3" xr:uid="{00000000-0002-0000-0500-000003000000}">
      <formula1>"Все,Автоматы,Ближний бой,Боевая броня,Дробовики и ружья,Другое,Комбинированная броня,Контейнеры,Магазины,Надульники и глушители,Научная броня,Пистолеты,Пистолеты-пулеметы,Прицелы,Пулеметы,Рукоятки,Рюкзаки,Снайперские винтовки,Цевья"</formula1>
    </dataValidation>
  </dataValidations>
  <hyperlinks>
    <hyperlink ref="C5" location="'Бартер оружие'!A3" display="'Бартер оружие'!A3" xr:uid="{31B65B3B-752A-471A-A11D-0F43F46224D3}"/>
    <hyperlink ref="C6" location="'Бартер оружие'!A10" display="'Бартер оружие'!A10" xr:uid="{DD5DB52E-847F-47BB-81C9-54F7D039A3DA}"/>
    <hyperlink ref="C7" location="'Бартер оружие'!A17" display="'Бартер оружие'!A17" xr:uid="{127563A2-BEA1-4C81-AF4C-C23B867CA982}"/>
    <hyperlink ref="C8" location="'Бартер оружие'!A24" display="'Бартер оружие'!A24" xr:uid="{7D3D50E0-71CA-475E-8534-7F8A051C48A8}"/>
    <hyperlink ref="C9" location="'Бартер оружие'!A31" display="'Бартер оружие'!A31" xr:uid="{204BA3B4-8407-4E57-8ED0-87877C3D8A67}"/>
    <hyperlink ref="C10" location="'Бартер оружие'!A38" display="'Бартер оружие'!A38" xr:uid="{0A1A3C1B-CFF0-47A8-8081-1E1644DA1256}"/>
    <hyperlink ref="C11" location="'Бартер оружие'!A45" display="'Бартер оружие'!A45" xr:uid="{A2E1B5C1-5F4C-49CC-8ACA-F9787DCD27DF}"/>
    <hyperlink ref="C12" location="'Бартер оружие'!A52" display="'Бартер оружие'!A52" xr:uid="{D02796FF-831A-4973-9EDE-A9915840AD18}"/>
    <hyperlink ref="C13" location="'Бартер оружие'!A59" display="'Бартер оружие'!A59" xr:uid="{9886C61C-D94D-4120-A778-AE057A6F73B8}"/>
    <hyperlink ref="C14" location="'Бартер оружие'!A66" display="'Бартер оружие'!A66" xr:uid="{82568FAB-AA12-4F15-B8DB-9EE605D7A293}"/>
    <hyperlink ref="C15" location="'Бартер оружие'!A73" display="'Бартер оружие'!A73" xr:uid="{231018AA-9EEF-44A2-A59E-592E60AECF91}"/>
    <hyperlink ref="C16" location="'Бартер оружие'!A80" display="'Бартер оружие'!A80" xr:uid="{A37DC14F-8335-45BF-BC47-06CF55CF319A}"/>
    <hyperlink ref="C17" location="'Бартер оружие'!A87" display="'Бартер оружие'!A87" xr:uid="{B85AE005-0A36-4C33-BDD8-F786A2C10786}"/>
    <hyperlink ref="C18" location="'Бартер оружие'!A94" display="'Бартер оружие'!A94" xr:uid="{19A9ED07-95F6-475C-8758-F1B9682DAFCE}"/>
    <hyperlink ref="C19" location="'Бартер оружие'!A101" display="'Бартер оружие'!A101" xr:uid="{112C7799-3EBD-480B-A30D-A905358AA4AD}"/>
    <hyperlink ref="C20" location="'Бартер оружие'!A108" display="'Бартер оружие'!A108" xr:uid="{9192ED77-709B-466C-A99C-DEB33993F4E2}"/>
    <hyperlink ref="C21" location="'Бартер оружие'!A115" display="'Бартер оружие'!A115" xr:uid="{3AC09B56-1699-43CB-B8BF-154BFDDEAC84}"/>
    <hyperlink ref="C22" location="'Бартер оружие'!A122" display="'Бартер оружие'!A122" xr:uid="{2FA6A811-FC0F-44E9-8523-F40F4F132D8B}"/>
    <hyperlink ref="C23" location="'Бартер оружие'!A129" display="'Бартер оружие'!A129" xr:uid="{1B800203-5E4A-4086-9AC3-5A1C48F79203}"/>
    <hyperlink ref="C24" location="'Бартер оружие'!A136" display="'Бартер оружие'!A136" xr:uid="{2E8B9BF0-8961-4074-8334-E230F488997F}"/>
    <hyperlink ref="C25" location="'Бартер оружие'!A143" display="'Бартер оружие'!A143" xr:uid="{12D010DC-5C3A-4FF9-B7AD-203F6F8BEFA6}"/>
    <hyperlink ref="C26" location="'Бартер оружие'!A150" display="'Бартер оружие'!A150" xr:uid="{33FBECC1-F2C3-42B1-AABD-619ED5393CD6}"/>
    <hyperlink ref="C27" location="'Бартер оружие'!A157" display="'Бартер оружие'!A157" xr:uid="{0FBAB900-AFAD-45A5-9FFF-B4BF03015490}"/>
    <hyperlink ref="C28" location="'Бартер оружие'!A164" display="'Бартер оружие'!A164" xr:uid="{F506ED36-A7B0-4398-99AC-EFF7F430A5CC}"/>
    <hyperlink ref="C29" location="'Бартер оружие'!A171" display="'Бартер оружие'!A171" xr:uid="{B8E1044A-3FB3-406E-98AC-8D0D6E9E0F46}"/>
    <hyperlink ref="C30" location="'Бартер оружие'!A178" display="'Бартер оружие'!A178" xr:uid="{ADFAD472-EE1C-4BF5-84D4-16F3C9CB53F5}"/>
    <hyperlink ref="C31" location="'Бартер оружие'!A185" display="'Бартер оружие'!A185" xr:uid="{3C560054-D774-40F2-9CE4-88EFCEE18B86}"/>
    <hyperlink ref="C32" location="'Бартер оружие'!A192" display="'Бартер оружие'!A192" xr:uid="{9D3A8D8B-8606-4E18-A05B-F36979C8F18B}"/>
    <hyperlink ref="C33" location="'Бартер оружие'!A199" display="'Бартер оружие'!A199" xr:uid="{7EFF7FF3-FB3D-49FC-BBFF-8B2EF89B4F79}"/>
    <hyperlink ref="C34" location="'Бартер оружие'!A206" display="'Бартер оружие'!A206" xr:uid="{BE24C741-5E4C-4EB0-8D96-D60FBC1CE66B}"/>
    <hyperlink ref="C35" location="'Бартер оружие'!A213" display="'Бартер оружие'!A213" xr:uid="{02614008-3E12-442C-935E-098A25BC9725}"/>
    <hyperlink ref="C36" location="'Бартер оружие'!A220" display="'Бартер оружие'!A220" xr:uid="{9D6396EC-5C11-45EB-9905-CDE0740200E5}"/>
    <hyperlink ref="C37" location="'Бартер оружие'!A227" display="'Бартер оружие'!A227" xr:uid="{26A43EF3-C321-482E-8923-2ACBA8B2802C}"/>
    <hyperlink ref="C38" location="'Бартер оружие'!A234" display="'Бартер оружие'!A234" xr:uid="{DB52B32C-91CA-4C0B-9D2E-3A4D0EDEC4E0}"/>
    <hyperlink ref="C39" location="'Бартер оружие'!A241" display="'Бартер оружие'!A241" xr:uid="{CCA2AEE0-1147-4EE9-947A-5952D2BE2D37}"/>
    <hyperlink ref="C40" location="'Бартер оружие'!A248" display="'Бартер оружие'!A248" xr:uid="{8D68CC23-45BE-4BC6-8937-D5FF761617F2}"/>
    <hyperlink ref="C41" location="'Бартер оружие'!A255" display="'Бартер оружие'!A255" xr:uid="{45F4295A-1777-404E-8743-A90D618BF136}"/>
    <hyperlink ref="C42" location="'Бартер оружие'!A262" display="'Бартер оружие'!A262" xr:uid="{F31A7EA2-AD21-4384-8625-AB70BBD22A15}"/>
    <hyperlink ref="C43" location="'Бартер оружие'!A269" display="'Бартер оружие'!A269" xr:uid="{9D7BB2F4-E059-4824-8C65-9B7D6DE8998E}"/>
    <hyperlink ref="C44" location="'Бартер оружие'!A276" display="'Бартер оружие'!A276" xr:uid="{033BC4AF-62F4-42E5-8D80-221F6CA09518}"/>
    <hyperlink ref="C45" location="'Бартер оружие'!A283" display="'Бартер оружие'!A283" xr:uid="{D53F473C-BABA-49A3-A564-27D96D1F242D}"/>
    <hyperlink ref="C46" location="'Бартер оружие'!A290" display="'Бартер оружие'!A290" xr:uid="{A0493A3F-8A9D-460C-AF24-008B8FFAA896}"/>
    <hyperlink ref="C47" location="'Бартер оружие'!A297" display="'Бартер оружие'!A297" xr:uid="{F879C3F2-250C-4FDE-896F-FEFA9CD09A56}"/>
    <hyperlink ref="C48" location="'Бартер оружие'!A304" display="'Бартер оружие'!A304" xr:uid="{81CAB333-A3CE-4149-A397-983B0EB32D10}"/>
    <hyperlink ref="C49" location="'Бартер оружие'!A311" display="'Бартер оружие'!A311" xr:uid="{EEA93EE5-2F7F-42AB-A645-2A994451F31E}"/>
    <hyperlink ref="C50" location="'Бартер оружие'!A318" display="'Бартер оружие'!A318" xr:uid="{13B0E951-AD03-4F6A-8B57-E75F241E0896}"/>
    <hyperlink ref="C51" location="'Бартер оружие'!A325" display="'Бартер оружие'!A325" xr:uid="{121CC183-677D-4D2C-B421-5FCE533D0E33}"/>
    <hyperlink ref="C52" location="'Бартер оружие'!A332" display="'Бартер оружие'!A332" xr:uid="{E611102A-99FF-46CD-AA02-F179F1432C2E}"/>
    <hyperlink ref="C53" location="'Бартер оружие'!A339" display="'Бартер оружие'!A339" xr:uid="{DFDD96CF-2079-4C42-95FF-D3105F750079}"/>
    <hyperlink ref="C54" location="'Бартер оружие'!A346" display="'Бартер оружие'!A346" xr:uid="{1671D043-AC48-42F8-B78E-D091F9896027}"/>
    <hyperlink ref="C55" location="'Бартер оружие'!A353" display="'Бартер оружие'!A353" xr:uid="{50C0C76D-3529-4063-A394-90D6F2AB8F46}"/>
    <hyperlink ref="C56" location="'Бартер оружие'!A360" display="'Бартер оружие'!A360" xr:uid="{16B02DEE-84DA-4592-B227-9104A7104097}"/>
    <hyperlink ref="C57" location="'Бартер оружие'!A367" display="'Бартер оружие'!A367" xr:uid="{D4ED6D23-7EDE-4471-BF0B-7044D938CD93}"/>
    <hyperlink ref="C58" location="'Бартер оружие'!A374" display="'Бартер оружие'!A374" xr:uid="{412F7A02-96A6-45CB-A9C5-63D179B9E61E}"/>
    <hyperlink ref="C59" location="'Бартер оружие'!A381" display="'Бартер оружие'!A381" xr:uid="{FF6CE7D6-415F-4CD6-A91F-FFA4CF21AB9A}"/>
    <hyperlink ref="C60" location="'Бартер оружие'!A388" display="'Бартер оружие'!A388" xr:uid="{63B079B8-EF92-4C50-A0F5-D17230B8B9FE}"/>
    <hyperlink ref="C61" location="'Бартер оружие'!A395" display="'Бартер оружие'!A395" xr:uid="{10D4F27B-4AB6-41E9-AD40-81F9BF56330E}"/>
    <hyperlink ref="C62" location="'Бартер оружие'!A402" display="'Бартер оружие'!A402" xr:uid="{2F2B0585-331A-4DF5-ACD2-7634B94BC141}"/>
    <hyperlink ref="C63" location="'Бартер оружие'!A409" display="'Бартер оружие'!A409" xr:uid="{A4A0B913-348C-4075-9618-FFFBD93AC8FC}"/>
    <hyperlink ref="C64" location="'Бартер оружие'!A416" display="'Бартер оружие'!A416" xr:uid="{829E44ED-459A-4565-B113-40AE4D23131C}"/>
    <hyperlink ref="C65" location="'Бартер оружие'!A423" display="'Бартер оружие'!A423" xr:uid="{8827ED41-DE53-4717-9625-59F47D80E8CC}"/>
    <hyperlink ref="C66" location="'Бартер оружие'!A430" display="'Бартер оружие'!A430" xr:uid="{A8FE482B-D7A1-4C87-93E0-9242742E3A86}"/>
    <hyperlink ref="C67" location="'Бартер оружие'!A437" display="'Бартер оружие'!A437" xr:uid="{7C67B92D-8297-4F33-8509-1F422C3D26E0}"/>
    <hyperlink ref="C68" location="'Бартер оружие'!A444" display="'Бартер оружие'!A444" xr:uid="{59507D9F-44FC-47D8-A038-882A3C6EBBDC}"/>
    <hyperlink ref="C69" location="'Бартер оружие'!A451" display="'Бартер оружие'!A451" xr:uid="{9FF65C72-62D1-497E-A4B5-8E7C609E1D16}"/>
    <hyperlink ref="C70" location="'Бартер оружие'!A458" display="'Бартер оружие'!A458" xr:uid="{5671251F-968C-462B-B571-082181A2E51B}"/>
    <hyperlink ref="C71" location="'Бартер оружие'!A465" display="'Бартер оружие'!A465" xr:uid="{6AD3DEE9-7C8F-4896-9C24-AE500DE12342}"/>
    <hyperlink ref="C72" location="'Бартер оружие'!A472" display="'Бартер оружие'!A472" xr:uid="{47485E05-048F-4EE1-A536-3A817730CFAC}"/>
    <hyperlink ref="C73" location="'Бартер оружие'!A479" display="'Бартер оружие'!A479" xr:uid="{D0FF26DC-6CE4-4D7C-BD42-C5E7B06C6225}"/>
    <hyperlink ref="C74" location="'Бартер оружие'!A486" display="'Бартер оружие'!A486" xr:uid="{64363C14-24C2-4CB8-BFAF-8E6691BEA149}"/>
    <hyperlink ref="C75" location="'Бартер оружие'!A493" display="'Бартер оружие'!A493" xr:uid="{35FB6D75-96C5-46D1-A3C1-1F07EC5AA726}"/>
    <hyperlink ref="C76" location="'Бартер оружие'!A500" display="'Бартер оружие'!A500" xr:uid="{BCE041F6-E5E2-4AB9-A207-26D7164D6678}"/>
    <hyperlink ref="C77" location="'Бартер оружие'!A507" display="'Бартер оружие'!A507" xr:uid="{054B2863-AFE3-463E-BF3C-C8FC5D8F54AC}"/>
    <hyperlink ref="C78" location="'Бартер оружие'!A514" display="'Бартер оружие'!A514" xr:uid="{7D6C68F8-AD9B-4837-AD19-04D4B4352EC0}"/>
    <hyperlink ref="C79" location="'Бартер оружие'!A521" display="'Бартер оружие'!A521" xr:uid="{8B3F33C2-01C3-4154-B044-EB03FD180903}"/>
    <hyperlink ref="C80" location="'Бартер оружие'!A528" display="'Бартер оружие'!A528" xr:uid="{CC939F2F-8BE6-4B98-88BC-D2C04279151D}"/>
    <hyperlink ref="C81" location="'Бартер оружие'!A535" display="'Бартер оружие'!A535" xr:uid="{62228A02-CE45-4F65-B5EA-D2F5A0628F33}"/>
    <hyperlink ref="C82" location="'Бартер оружие'!A542" display="'Бартер оружие'!A542" xr:uid="{56D328D3-535E-425F-8DE0-0A03F853BFA7}"/>
    <hyperlink ref="C83" location="'Бартер оружие'!A549" display="'Бартер оружие'!A549" xr:uid="{C21CBBD9-0A6B-43A4-9C1E-42E8A1771B91}"/>
    <hyperlink ref="C84" location="'Бартер оружие'!A556" display="'Бартер оружие'!A556" xr:uid="{E0721258-80ED-4483-ADA6-28D12B1D9B60}"/>
    <hyperlink ref="C85" location="'Бартер оружие'!A563" display="'Бартер оружие'!A563" xr:uid="{6F7FB48A-E531-4B53-A6F6-707C62A3AE1B}"/>
    <hyperlink ref="C86" location="'Бартер оружие'!A570" display="'Бартер оружие'!A570" xr:uid="{EAC4C547-D2B6-4550-8B89-25EB7F527C4F}"/>
    <hyperlink ref="C87" location="'Бартер оружие'!A577" display="'Бартер оружие'!A577" xr:uid="{D55A542C-6F1B-4E23-A78D-2530B22F6F0A}"/>
    <hyperlink ref="C88" location="'Бартер оружие'!A584" display="'Бартер оружие'!A584" xr:uid="{248DF6E2-EB72-4810-B268-457128084DAA}"/>
    <hyperlink ref="C89" location="'Бартер оружие'!A591" display="'Бартер оружие'!A591" xr:uid="{66F250BC-26F2-4F75-9458-34613F3D8514}"/>
    <hyperlink ref="C90" location="'Бартер оружие'!A598" display="'Бартер оружие'!A598" xr:uid="{32F80788-2C1D-4F05-B521-55132AA8C581}"/>
    <hyperlink ref="C91" location="'Бартер оружие'!A605" display="'Бартер оружие'!A605" xr:uid="{47E1E87C-42DD-4148-A297-0E7ED2B6AA77}"/>
    <hyperlink ref="C92" location="'Бартер оружие'!A612" display="'Бартер оружие'!A612" xr:uid="{FB4A0E3C-CD6C-4381-BFAE-40F0BC84E67B}"/>
    <hyperlink ref="C93" location="'Бартер оружие'!A619" display="'Бартер оружие'!A619" xr:uid="{F659EB8E-335E-4D1E-A36B-11B106AA874E}"/>
    <hyperlink ref="C94" location="'Бартер оружие'!A626" display="'Бартер оружие'!A626" xr:uid="{CF791577-D20B-4D60-8990-4307F2921982}"/>
    <hyperlink ref="C95" location="'Бартер оружие'!A633" display="'Бартер оружие'!A633" xr:uid="{7E73B566-E158-4CA5-B3B8-214741590CE6}"/>
    <hyperlink ref="C96" location="'Бартер оружие'!A640" display="'Бартер оружие'!A640" xr:uid="{33342BA8-775B-49B7-8391-C1F96B2F5E01}"/>
    <hyperlink ref="C97" location="'Бартер оружие'!A647" display="'Бартер оружие'!A647" xr:uid="{E086D3AC-55ED-4F25-AA07-04EE7BB93313}"/>
    <hyperlink ref="C98" location="'Бартер оружие'!A654" display="'Бартер оружие'!A654" xr:uid="{46888C03-7089-4026-8238-0DABDA965836}"/>
    <hyperlink ref="C99" location="'Бартер оружие'!A661" display="'Бартер оружие'!A661" xr:uid="{75FD085C-6578-45EB-9D20-26A7F08D71B6}"/>
    <hyperlink ref="C100" location="'Бартер оружие'!A668" display="'Бартер оружие'!A668" xr:uid="{781CCC83-4CD8-4585-9701-3CDCC34EADEA}"/>
    <hyperlink ref="C101" location="'Бартер оружие'!A675" display="'Бартер оружие'!A675" xr:uid="{20A122B6-49CF-411C-A58A-8B6372206FE0}"/>
    <hyperlink ref="C102" location="'Бартер оружие'!A682" display="'Бартер оружие'!A682" xr:uid="{73F0800B-8D09-440A-9825-23AAC94F5F31}"/>
    <hyperlink ref="C103" location="'Бартер оружие'!A689" display="'Бартер оружие'!A689" xr:uid="{690F0B46-E8D0-4F0D-9634-5CA781CB6F2A}"/>
    <hyperlink ref="C104" location="'Бартер оружие'!A696" display="'Бартер оружие'!A696" xr:uid="{8CDCBBA0-8A68-44F2-9389-5ECFD4E306E8}"/>
    <hyperlink ref="C105" location="'Бартер оружие'!A703" display="'Бартер оружие'!A703" xr:uid="{40BDCA87-8F5D-4D32-92BA-49FD3E9DB13F}"/>
    <hyperlink ref="C106" location="'Бартер оружие'!A710" display="'Бартер оружие'!A710" xr:uid="{379545D1-B4B6-4ED9-9D2C-133CF7563BB4}"/>
    <hyperlink ref="C107" location="'Бартер оружие'!A717" display="'Бартер оружие'!A717" xr:uid="{6811513C-4531-442F-AD73-9E59A8153FE7}"/>
    <hyperlink ref="C108" location="'Бартер оружие'!A724" display="'Бартер оружие'!A724" xr:uid="{27714784-C4E8-44A2-9505-C80483757746}"/>
    <hyperlink ref="C109" location="'Бартер оружие'!A731" display="'Бартер оружие'!A731" xr:uid="{AFB613DC-E7A9-4C02-B2EF-37BB722CF054}"/>
    <hyperlink ref="C110" location="'Бартер оружие'!A738" display="'Бартер оружие'!A738" xr:uid="{D64F3D6C-47CE-401B-A7BE-7A2A4400A68A}"/>
    <hyperlink ref="C111" location="'Бартер оружие'!A745" display="'Бартер оружие'!A745" xr:uid="{63A30FAA-FAA7-4880-B2CE-6B1B5F2C99F0}"/>
    <hyperlink ref="C112" location="'Бартер оружие'!A752" display="'Бартер оружие'!A752" xr:uid="{A83E936E-2739-48F0-8806-2C744AFD0265}"/>
    <hyperlink ref="C113" location="'Бартер оружие'!A759" display="'Бартер оружие'!A759" xr:uid="{2716C13A-696D-4315-8D53-67F05E686FDC}"/>
    <hyperlink ref="C114" location="'Бартер оружие'!A766" display="'Бартер оружие'!A766" xr:uid="{29DB56BD-95BB-46E0-AD1C-01848AAEC8C9}"/>
    <hyperlink ref="C115" location="'Бартер оружие'!A773" display="'Бартер оружие'!A773" xr:uid="{98F3A6A0-3E99-4F41-9EFE-C9E4AFD82538}"/>
    <hyperlink ref="C116" location="'Бартер оружие'!A780" display="'Бартер оружие'!A780" xr:uid="{2D498A15-F653-446D-A615-2DC5AA7966EB}"/>
    <hyperlink ref="C117" location="'Бартер оружие'!A787" display="'Бартер оружие'!A787" xr:uid="{01F05934-6610-49C0-8CC6-6F81B337F0DB}"/>
    <hyperlink ref="C118" location="'Бартер оружие'!A794" display="'Бартер оружие'!A794" xr:uid="{FCE4ADCA-5DD5-4F23-A997-0E4E9CC4B597}"/>
    <hyperlink ref="C119" location="'Бартер оружие'!A801" display="'Бартер оружие'!A801" xr:uid="{86164A41-C4EC-474E-A38E-921D724408E2}"/>
    <hyperlink ref="C120" location="'Бартер оружие'!A808" display="'Бартер оружие'!A808" xr:uid="{5D8BDB02-2189-44B8-8757-EC64AE0C5108}"/>
    <hyperlink ref="C121" location="'Бартер оружие'!A815" display="'Бартер оружие'!A815" xr:uid="{0D2C722A-BE0C-4C5D-8E73-6FDD0F89AC10}"/>
    <hyperlink ref="C122" location="'Бартер оружие'!A822" display="'Бартер оружие'!A822" xr:uid="{4D092421-EE54-4D1B-80AE-D6B5B1B4A745}"/>
    <hyperlink ref="C123" location="'Бартер оружие'!A829" display="'Бартер оружие'!A829" xr:uid="{CD2FB3B6-78DA-4635-A14F-AC85FE662EB1}"/>
    <hyperlink ref="C124" location="'Бартер оружие'!A836" display="'Бартер оружие'!A836" xr:uid="{A4DED441-FF67-4C41-8E71-21F2E7D3E1DE}"/>
    <hyperlink ref="C125" location="'Бартер оружие'!A843" display="'Бартер оружие'!A843" xr:uid="{06EF57FB-83B3-4666-AAA7-772EC567EC70}"/>
    <hyperlink ref="C126" location="'Бартер оружие'!A850" display="'Бартер оружие'!A850" xr:uid="{E34C9655-38FE-4E53-9258-52ECC0E4C8C8}"/>
    <hyperlink ref="C127" location="'Бартер оружие'!A857" display="'Бартер оружие'!A857" xr:uid="{EA2F1F7D-EE40-44A8-8F5F-384D2CD90E86}"/>
    <hyperlink ref="C128" location="'Бартер оружие'!A864" display="'Бартер оружие'!A864" xr:uid="{8DD648F9-AC08-4914-A3D3-132E179F6993}"/>
    <hyperlink ref="C129" location="'Бартер оружие'!A871" display="'Бартер оружие'!A871" xr:uid="{5AFA8352-AD9F-47C1-9F0B-4B13E3E94585}"/>
    <hyperlink ref="C130" location="'Бартер оружие'!A878" display="'Бартер оружие'!A878" xr:uid="{0F6F64B9-969F-4725-A531-AF5925503F02}"/>
    <hyperlink ref="C131" location="'Бартер оружие'!A885" display="'Бартер оружие'!A885" xr:uid="{C8785A06-D25E-4EF8-8968-5393484D0DE2}"/>
    <hyperlink ref="C132" location="'Бартер оружие'!A892" display="'Бартер оружие'!A892" xr:uid="{4802DC1E-4673-471A-896C-A508C6EA3593}"/>
    <hyperlink ref="C133" location="'Бартер броня'!A3" display="'Бартер броня'!A3" xr:uid="{1201620D-F103-440D-97CA-F3F96447ACE3}"/>
    <hyperlink ref="C134" location="'Бартер броня'!A10" display="'Бартер броня'!A10" xr:uid="{B5464071-7FB2-40BB-9123-4163B17B13EE}"/>
    <hyperlink ref="C135" location="'Бартер броня'!A17" display="'Бартер броня'!A17" xr:uid="{C5C36171-88DF-4B71-A8A1-4EAB6A247EED}"/>
    <hyperlink ref="C136" location="'Бартер броня'!A24" display="'Бартер броня'!A24" xr:uid="{3BFC42CA-5827-43D9-88A4-F1864F1EB1FF}"/>
    <hyperlink ref="C137" location="'Бартер броня'!A31" display="'Бартер броня'!A31" xr:uid="{00060E3F-20D4-4D3A-B2F3-E3D58D15F3D4}"/>
    <hyperlink ref="C138" location="'Бартер броня'!A38" display="'Бартер броня'!A38" xr:uid="{1625AC6B-D418-4962-BB6E-AEB982CB5736}"/>
    <hyperlink ref="C139" location="'Бартер броня'!A45" display="'Бартер броня'!A45" xr:uid="{825FF16A-E0F7-4546-9707-891C452B48A1}"/>
    <hyperlink ref="C140" location="'Бартер броня'!A52" display="'Бартер броня'!A52" xr:uid="{1552C778-3047-4ECC-94ED-AC729E2F131C}"/>
    <hyperlink ref="C141" location="'Бартер броня'!A59" display="'Бартер броня'!A59" xr:uid="{546E51C8-708D-44F2-87CC-A241D0E91F3C}"/>
    <hyperlink ref="C142" location="'Бартер броня'!A66" display="'Бартер броня'!A66" xr:uid="{B2D6F78E-C377-4B60-9710-2D4EC06B2DEB}"/>
    <hyperlink ref="C143" location="'Бартер броня'!A73" display="'Бартер броня'!A73" xr:uid="{555CC74D-B0F8-40AD-A7D4-B61137953503}"/>
    <hyperlink ref="C144" location="'Бартер броня'!A80" display="'Бартер броня'!A80" xr:uid="{1BA0B0E6-D15F-453C-ADEF-3EA5446DAEF4}"/>
    <hyperlink ref="C145" location="'Бартер броня'!A87" display="'Бартер броня'!A87" xr:uid="{B49506A5-E90C-47CC-A1CB-836590C53F0E}"/>
    <hyperlink ref="C146" location="'Бартер броня'!A94" display="'Бартер броня'!A94" xr:uid="{6D848CC7-23DA-44E8-8E31-0053259D201B}"/>
    <hyperlink ref="C147" location="'Бартер броня'!A101" display="'Бартер броня'!A101" xr:uid="{CEDDCAF3-6A6A-49CE-A1C7-B011DB961469}"/>
    <hyperlink ref="C148" location="'Бартер броня'!A108" display="'Бартер броня'!A108" xr:uid="{6812D2D3-D70A-4D1B-84E3-1EE2C5A733BE}"/>
    <hyperlink ref="C149" location="'Бартер броня'!A115" display="'Бартер броня'!A115" xr:uid="{66A62C36-AE7F-4BE0-B137-366CA24A0641}"/>
    <hyperlink ref="C150" location="'Бартер броня'!A122" display="'Бартер броня'!A122" xr:uid="{86C7D970-1245-47DE-8783-C331CC190225}"/>
    <hyperlink ref="C151" location="'Бартер броня'!A129" display="'Бартер броня'!A129" xr:uid="{DAE3C219-77D9-4D21-9AE5-6803E5AD5418}"/>
    <hyperlink ref="C152" location="'Бартер броня'!A136" display="'Бартер броня'!A136" xr:uid="{DBF0A665-BE56-4BD4-BD54-CC45483AE64F}"/>
    <hyperlink ref="C153" location="'Бартер броня'!A143" display="'Бартер броня'!A143" xr:uid="{E2683F7A-68D8-4CEE-ADEE-725FE17760ED}"/>
    <hyperlink ref="C154" location="'Бартер броня'!A150" display="'Бартер броня'!A150" xr:uid="{5B338D68-95EC-488F-9A51-E9D464F7983E}"/>
    <hyperlink ref="C155" location="'Бартер броня'!A157" display="'Бартер броня'!A157" xr:uid="{0A3235F9-E737-4EBD-BC96-D1B144E6D007}"/>
    <hyperlink ref="C156" location="'Бартер броня'!A164" display="'Бартер броня'!A164" xr:uid="{F8A30512-3A2B-4EE7-9F57-9FCEE09EC83B}"/>
    <hyperlink ref="C157" location="'Бартер броня'!A171" display="'Бартер броня'!A171" xr:uid="{076A8479-EA6D-4157-A2C8-753428C232E7}"/>
    <hyperlink ref="C158" location="'Бартер броня'!A178" display="'Бартер броня'!A178" xr:uid="{8A768EF6-7ED7-499B-AA90-3682C38636FA}"/>
    <hyperlink ref="C159" location="'Бартер броня'!A185" display="'Бартер броня'!A185" xr:uid="{DD1EBE18-363E-4142-8C6B-3B0730FF3C8F}"/>
    <hyperlink ref="C160" location="'Бартер броня'!A192" display="'Бартер броня'!A192" xr:uid="{6C5A27B2-E0BE-4520-B9C8-162B6A0EA751}"/>
    <hyperlink ref="C161" location="'Бартер броня'!A199" display="'Бартер броня'!A199" xr:uid="{6FCDABAC-30B9-4895-B18B-BC6839C2BCC9}"/>
    <hyperlink ref="C162" location="'Бартер броня'!A206" display="'Бартер броня'!A206" xr:uid="{E5FA9372-810C-43BE-883E-FAFDB5FBD2B0}"/>
    <hyperlink ref="C163" location="'Бартер броня'!A213" display="'Бартер броня'!A213" xr:uid="{5956DD17-ADB9-4F15-B224-4C6D933708A8}"/>
    <hyperlink ref="C164" location="'Бартер броня'!A220" display="'Бартер броня'!A220" xr:uid="{2B6FA1A9-992C-4913-8EC0-C11C73D81FD8}"/>
    <hyperlink ref="C165" location="'Бартер броня'!A227" display="'Бартер броня'!A227" xr:uid="{9008C39C-4628-4603-A408-7CC854ADDFF1}"/>
    <hyperlink ref="C166" location="'Бартер броня'!A234" display="'Бартер броня'!A234" xr:uid="{4AD41C13-B180-4F95-85D0-0B1908D93892}"/>
    <hyperlink ref="C167" location="'Бартер броня'!A241" display="'Бартер броня'!A241" xr:uid="{4D67E40E-62EA-4A60-955C-F7B35C74F31C}"/>
    <hyperlink ref="C168" location="'Бартер броня'!A248" display="'Бартер броня'!A248" xr:uid="{3F55103D-92D4-4E63-946D-7453F723403A}"/>
    <hyperlink ref="C169" location="'Бартер броня'!A255" display="'Бартер броня'!A255" xr:uid="{71A21BD9-BE4D-458C-92E3-82689236023D}"/>
    <hyperlink ref="C170" location="'Бартер броня'!A262" display="'Бартер броня'!A262" xr:uid="{387C76B8-1174-4319-B577-541D9D7AB6DB}"/>
    <hyperlink ref="C171" location="'Бартер броня'!A269" display="'Бартер броня'!A269" xr:uid="{AE99E00E-DF52-4A7E-891C-BE9AB8720617}"/>
    <hyperlink ref="C172" location="'Бартер броня'!A276" display="'Бартер броня'!A276" xr:uid="{06A086D9-9AE5-48AD-BC75-120787D1F8C8}"/>
    <hyperlink ref="C173" location="'Бартер броня'!A283" display="'Бартер броня'!A283" xr:uid="{CB008228-AC4C-4C54-9D72-7BCFCBB7D798}"/>
    <hyperlink ref="C174" location="'Бартер броня'!A290" display="'Бартер броня'!A290" xr:uid="{11DF8FD2-9CAE-47D0-AB54-9891CE440485}"/>
    <hyperlink ref="C175" location="'Бартер броня'!A297" display="'Бартер броня'!A297" xr:uid="{D69A75E8-16FD-49F1-BE41-C8369B6287AB}"/>
    <hyperlink ref="C176" location="'Бартер броня'!A304" display="'Бартер броня'!A304" xr:uid="{2EF294E6-1854-438B-B883-30E23ABB141D}"/>
    <hyperlink ref="C177" location="'Бартер броня'!A311" display="'Бартер броня'!A311" xr:uid="{35E5B216-6C62-46C7-9C6B-7E31744C510E}"/>
    <hyperlink ref="C178" location="'Бартер броня'!A318" display="'Бартер броня'!A318" xr:uid="{34234666-6044-47C8-A823-A577F304FC1E}"/>
    <hyperlink ref="C179" location="'Бартер броня'!A325" display="'Бартер броня'!A325" xr:uid="{CA368EE3-0E63-40FE-B958-F6D3DC879064}"/>
    <hyperlink ref="C180" location="'Бартер броня'!A332" display="'Бартер броня'!A332" xr:uid="{6C5A96D6-8697-4409-AAD9-65DDCD5CF7FF}"/>
    <hyperlink ref="C181" location="'Бартер броня'!A339" display="'Бартер броня'!A339" xr:uid="{911E7A28-C0BD-45BB-B3A8-0B5ED040C94E}"/>
    <hyperlink ref="C182" location="'Бартер броня'!A346" display="'Бартер броня'!A346" xr:uid="{93A6B891-5258-4FE1-838C-AAC5527C95AA}"/>
    <hyperlink ref="C183" location="'Бартер броня'!A353" display="'Бартер броня'!A353" xr:uid="{B572B201-FE2E-42B9-8706-54230F61FDF0}"/>
    <hyperlink ref="C184" location="'Бартер броня'!A360" display="'Бартер броня'!A360" xr:uid="{810EB1B7-75FB-496A-BB3B-43014ACE8C09}"/>
    <hyperlink ref="C185" location="'Бартер броня'!A367" display="'Бартер броня'!A367" xr:uid="{60F8E77C-885F-4E47-B218-5E6CE1146ABD}"/>
    <hyperlink ref="C186" location="'Бартер броня'!A374" display="'Бартер броня'!A374" xr:uid="{43518007-078B-4A45-858B-B77AE22DFBEA}"/>
    <hyperlink ref="C187" location="'Бартер броня'!A381" display="'Бартер броня'!A381" xr:uid="{3D12B773-624F-4C07-AD6E-5B76950A3889}"/>
    <hyperlink ref="C188" location="'Бартер броня'!A388" display="'Бартер броня'!A388" xr:uid="{FD9BB470-3526-4A05-A9B1-34532369D347}"/>
    <hyperlink ref="C189" location="'Бартер броня'!A395" display="'Бартер броня'!A395" xr:uid="{F02C9ACA-FBC7-423C-B0DA-2B1F7EAF81AC}"/>
    <hyperlink ref="C190" location="'Бартер обвесы'!A3" display="'Бартер обвесы'!A3" xr:uid="{EF156C5F-8752-4EF1-9B98-741431C5B343}"/>
    <hyperlink ref="C191" location="'Бартер обвесы'!A10" display="'Бартер обвесы'!A10" xr:uid="{B6BA3D9B-4A89-4179-A800-614388D07204}"/>
    <hyperlink ref="C192" location="'Бартер обвесы'!A17" display="'Бартер обвесы'!A17" xr:uid="{8C4EF090-6334-46F7-A84A-A62BFA1BF4FF}"/>
    <hyperlink ref="C193" location="'Бартер обвесы'!A24" display="'Бартер обвесы'!A24" xr:uid="{5B25DC78-B34A-45A5-8443-D3BE62DB7912}"/>
    <hyperlink ref="C194" location="'Бартер обвесы'!A31" display="'Бартер обвесы'!A31" xr:uid="{D4F6281E-53E4-4743-B685-CC03AC27B118}"/>
    <hyperlink ref="C195" location="'Бартер обвесы'!A38" display="'Бартер обвесы'!A38" xr:uid="{8A1BFAB3-95C9-41CA-BB7A-7AE0405B0037}"/>
    <hyperlink ref="C196" location="'Бартер обвесы'!A45" display="'Бартер обвесы'!A45" xr:uid="{4F2ED9BC-653D-4809-8FE2-ADEF9FD2E3C7}"/>
    <hyperlink ref="C197" location="'Бартер обвесы'!A52" display="'Бартер обвесы'!A52" xr:uid="{F0B3642A-009D-4B93-96DE-1595A7CC003D}"/>
    <hyperlink ref="C198" location="'Бартер обвесы'!A59" display="'Бартер обвесы'!A59" xr:uid="{F29B493F-D6B5-4007-A0E8-BBC2FCAFF473}"/>
    <hyperlink ref="C199" location="'Бартер обвесы'!A66" display="'Бартер обвесы'!A66" xr:uid="{4BB8E7D8-0734-4039-BDED-77263A8192CB}"/>
    <hyperlink ref="C200" location="'Бартер обвесы'!A73" display="'Бартер обвесы'!A73" xr:uid="{80FAF1BB-192E-4A5F-B323-10BDDEFCE4F3}"/>
    <hyperlink ref="C201" location="'Бартер обвесы'!A80" display="'Бартер обвесы'!A80" xr:uid="{F15FD959-243A-400B-B959-CBAF162440AB}"/>
    <hyperlink ref="C202" location="'Бартер обвесы'!A87" display="'Бартер обвесы'!A87" xr:uid="{1C5D95D5-3030-4F56-81BB-05756272DF79}"/>
    <hyperlink ref="C203" location="'Бартер обвесы'!A94" display="'Бартер обвесы'!A94" xr:uid="{416EC429-64C8-486C-9C58-E96B4701A463}"/>
    <hyperlink ref="C204" location="'Бартер обвесы'!A101" display="'Бартер обвесы'!A101" xr:uid="{0A8F8716-6ADB-49D6-85FA-2D4B93AF9CA3}"/>
    <hyperlink ref="C205" location="'Бартер обвесы'!A108" display="'Бартер обвесы'!A108" xr:uid="{F8937102-1CFA-4B3E-AA25-C98E36315313}"/>
    <hyperlink ref="C206" location="'Бартер обвесы'!A115" display="'Бартер обвесы'!A115" xr:uid="{224E4A23-024D-4D90-8F65-F40175AEA0B8}"/>
    <hyperlink ref="C207" location="'Бартер обвесы'!A122" display="'Бартер обвесы'!A122" xr:uid="{2E6C923F-03A7-45E6-A1AD-4AC1FA775436}"/>
    <hyperlink ref="C208" location="'Бартер обвесы'!A129" display="'Бартер обвесы'!A129" xr:uid="{1DAC49D1-9F9F-4F6A-BC74-F6B94B392DDA}"/>
    <hyperlink ref="C209" location="'Бартер обвесы'!A136" display="'Бартер обвесы'!A136" xr:uid="{690386B0-1BE6-4F25-B075-9FFC30051D8A}"/>
    <hyperlink ref="C210" location="'Бартер обвесы'!A143" display="'Бартер обвесы'!A143" xr:uid="{C8421EF3-54BA-4221-8CE0-3B4057EE15BD}"/>
    <hyperlink ref="C211" location="'Бартер обвесы'!A150" display="'Бартер обвесы'!A150" xr:uid="{0137610E-F5B7-4F80-BDF7-721EB27397CA}"/>
    <hyperlink ref="C212" location="'Бартер обвесы'!A157" display="'Бартер обвесы'!A157" xr:uid="{44A4D819-2A1E-46DF-BE8C-B7199FAA69CC}"/>
    <hyperlink ref="C213" location="'Бартер обвесы'!A164" display="'Бартер обвесы'!A164" xr:uid="{2C81D953-80D5-42B9-B2B7-214A9519E7BF}"/>
    <hyperlink ref="C214" location="'Бартер обвесы'!A171" display="'Бартер обвесы'!A171" xr:uid="{BA62EF68-8C01-4345-9D62-9BBCA4A494C5}"/>
    <hyperlink ref="C215" location="'Бартер обвесы'!A178" display="'Бартер обвесы'!A178" xr:uid="{8AC6D582-9ABC-4319-98E3-50C01B44C85B}"/>
    <hyperlink ref="C216" location="'Бартер обвесы'!A185" display="'Бартер обвесы'!A185" xr:uid="{EFB5BD94-D1E6-4725-8457-9FE4CAB191B7}"/>
    <hyperlink ref="C217" location="'Бартер обвесы'!A192" display="'Бартер обвесы'!A192" xr:uid="{3472F675-5BB2-44BE-B7D9-A973D95C0AB4}"/>
    <hyperlink ref="C218" location="'Бартер обвесы'!A199" display="'Бартер обвесы'!A199" xr:uid="{5342904C-34F0-4AD7-91D8-6E61FB60DB45}"/>
    <hyperlink ref="C219" location="'Бартер обвесы'!A206" display="'Бартер обвесы'!A206" xr:uid="{3BD95079-6493-4D3D-ACA0-D2DDFA94D468}"/>
    <hyperlink ref="C220" location="'Бартер обвесы'!A213" display="'Бартер обвесы'!A213" xr:uid="{F4DF4161-A8C0-4A2A-92F9-4DA2519FB22C}"/>
    <hyperlink ref="C221" location="'Бартер обвесы'!A220" display="'Бартер обвесы'!A220" xr:uid="{9D066B33-0204-4A61-B35F-EDD7FBE923AE}"/>
    <hyperlink ref="C222" location="'Бартер обвесы'!A227" display="'Бартер обвесы'!A227" xr:uid="{FA6AFF15-F2F9-4450-A21F-35C701BAA327}"/>
    <hyperlink ref="C223" location="'Бартер обвесы'!A234" display="'Бартер обвесы'!A234" xr:uid="{F3C98F05-EF6E-4E21-B7EC-D4A6066625A5}"/>
    <hyperlink ref="C224" location="'Бартер обвесы'!A241" display="'Бартер обвесы'!A241" xr:uid="{1C69AE80-68F2-4172-A136-E4D8B3ABCFBC}"/>
    <hyperlink ref="C225" location="'Бартер обвесы'!A248" display="'Бартер обвесы'!A248" xr:uid="{5BD13351-C22C-41C9-8532-15B649EB341A}"/>
    <hyperlink ref="C226" location="'Бартер обвесы'!A255" display="'Бартер обвесы'!A255" xr:uid="{3B7DE0F0-ED82-4E8E-9230-2F8BEC089A09}"/>
    <hyperlink ref="C227" location="'Бартер обвесы'!A262" display="'Бартер обвесы'!A262" xr:uid="{528AF4BF-2719-4815-8DAE-819D809AD535}"/>
    <hyperlink ref="C228" location="'Бартер обвесы'!A269" display="'Бартер обвесы'!A269" xr:uid="{27FFB91C-EA96-4537-8B93-62D3B91F4873}"/>
    <hyperlink ref="C229" location="'Бартер обвесы'!A276" display="'Бартер обвесы'!A276" xr:uid="{BAC55EA7-259E-4F45-AEE0-BBC69B6F10DB}"/>
    <hyperlink ref="C230" location="'Бартер обвесы'!A283" display="'Бартер обвесы'!A283" xr:uid="{F145D6EF-2D2B-4CF0-83A9-D036E63578C2}"/>
    <hyperlink ref="C231" location="'Бартер обвесы'!A290" display="'Бартер обвесы'!A290" xr:uid="{11139A1D-0DA1-44AB-A7B2-3006461C6802}"/>
    <hyperlink ref="C232" location="'Бартер обвесы'!A297" display="'Бартер обвесы'!A297" xr:uid="{E5D1012A-DBD2-4D07-B8F1-A88BAFA2F386}"/>
    <hyperlink ref="C233" location="'Бартер обвесы'!A304" display="'Бартер обвесы'!A304" xr:uid="{3ED8324F-CF15-42C1-9374-C76BF5BAC44D}"/>
    <hyperlink ref="C234" location="'Бартер обвесы'!A311" display="'Бартер обвесы'!A311" xr:uid="{0D16A926-4CEF-4B06-B9DF-F851E682D354}"/>
    <hyperlink ref="C235" location="'Бартер обвесы'!A318" display="'Бартер обвесы'!A318" xr:uid="{457BF00F-46D0-45B0-B434-C591839CD952}"/>
    <hyperlink ref="C236" location="'Бартер обвесы'!A325" display="'Бартер обвесы'!A325" xr:uid="{6525BBF6-60AB-42C7-918B-740855A15746}"/>
    <hyperlink ref="C237" location="'Бартер обвесы'!A332" display="'Бартер обвесы'!A332" xr:uid="{546CEFC1-B5F9-4AFE-94FE-55265E73DB9F}"/>
    <hyperlink ref="C238" location="'Бартер обвесы'!A339" display="'Бартер обвесы'!A339" xr:uid="{8298C4E0-3AC2-44AD-9DED-BA6407948CC9}"/>
    <hyperlink ref="C239" location="'Бартер обвесы'!A346" display="'Бартер обвесы'!A346" xr:uid="{CA875B57-9BA1-4A33-A3D2-FC910EC24867}"/>
    <hyperlink ref="C240" location="'Бартер обвесы'!A353" display="'Бартер обвесы'!A353" xr:uid="{505216A1-6127-4214-9FFE-653C1B3047EA}"/>
    <hyperlink ref="C241" location="'Бартер обвесы'!A360" display="'Бартер обвесы'!A360" xr:uid="{63EA6A22-9D68-4901-B531-E64B1B35E379}"/>
    <hyperlink ref="C242" location="'Бартер обвесы'!A367" display="'Бартер обвесы'!A367" xr:uid="{D6BFFC36-06B4-4125-B8E9-EC996D6D677E}"/>
    <hyperlink ref="C243" location="'Бартер обвесы'!A374" display="'Бартер обвесы'!A374" xr:uid="{E54DFE0C-02A3-48E4-AE57-796ABD50EDCC}"/>
    <hyperlink ref="C244" location="'Бартер обвесы'!A381" display="'Бартер обвесы'!A381" xr:uid="{22CC7DF8-CE18-4D8D-AE7C-50E3734D8F90}"/>
    <hyperlink ref="C245" location="'Бартер обвесы'!A388" display="'Бартер обвесы'!A388" xr:uid="{7528096B-3C2D-4519-BC5D-B2D43A574DE8}"/>
    <hyperlink ref="C246" location="'Бартер обвесы'!A395" display="'Бартер обвесы'!A395" xr:uid="{F5639028-A146-4B94-A7C7-A30544FA4534}"/>
    <hyperlink ref="C247" location="'Бартер обвесы'!A402" display="'Бартер обвесы'!A402" xr:uid="{C0B1C224-3B02-4EDE-814F-40115428A2F6}"/>
    <hyperlink ref="C248" location="'Бартер обвесы'!A409" display="'Бартер обвесы'!A409" xr:uid="{750A1279-5FD2-4A5C-865F-2C6DF4ED0552}"/>
    <hyperlink ref="C249" location="'Бартер обвесы'!A416" display="'Бартер обвесы'!A416" xr:uid="{8A4C0641-4605-47E0-B910-B7E2801EF6B8}"/>
    <hyperlink ref="C250" location="'Бартер обвесы'!A423" display="'Бартер обвесы'!A423" xr:uid="{3C9C703E-DFEE-49D2-85EE-6D4EB9BC8037}"/>
    <hyperlink ref="C251" location="'Бартер обвесы'!A430" display="'Бартер обвесы'!A430" xr:uid="{E4B0C87D-D6AA-4E63-A8AE-F84B7B78097C}"/>
    <hyperlink ref="C252" location="'Бартер обвесы'!A437" display="'Бартер обвесы'!A437" xr:uid="{C7AC2CEA-A4C6-404F-88CB-894B4D2A7F67}"/>
    <hyperlink ref="C253" location="'Бартер обвесы'!A444" display="'Бартер обвесы'!A444" xr:uid="{36F6701D-3607-4D45-AE4F-A6EE58888E1C}"/>
    <hyperlink ref="C254" location="'Бартер обвесы'!A451" display="'Бартер обвесы'!A451" xr:uid="{89F46161-F92F-43E3-A231-AEACE6F34471}"/>
    <hyperlink ref="C255" location="'Бартер обвесы'!A458" display="'Бартер обвесы'!A458" xr:uid="{75BFAE6D-BC67-4DB8-B5E9-654A8F056A71}"/>
    <hyperlink ref="C256" location="'Бартер обвесы'!A465" display="'Бартер обвесы'!A465" xr:uid="{284E0074-F5FF-44AA-BA69-AD0C8E627461}"/>
    <hyperlink ref="C257" location="'Бартер обвесы'!A472" display="'Бартер обвесы'!A472" xr:uid="{0A3899C9-B1EC-4AD3-8974-5BF3206275D2}"/>
    <hyperlink ref="C258" location="'Бартер обвесы'!A479" display="'Бартер обвесы'!A479" xr:uid="{CDF0953D-983B-4928-BAE6-A70E1858D96F}"/>
    <hyperlink ref="C259" location="'Бартер обвесы'!A486" display="'Бартер обвесы'!A486" xr:uid="{4B0D3B3D-2789-43BF-8290-456E5A3258B0}"/>
    <hyperlink ref="C260" location="'Бартер обвесы'!A493" display="'Бартер обвесы'!A493" xr:uid="{13058F9B-B7AB-4BDE-8938-A0F705A7D31D}"/>
    <hyperlink ref="C261" location="'Бартер обвесы'!A500" display="'Бартер обвесы'!A500" xr:uid="{FADD9172-7ACC-455C-8AD9-BD46B7F045F1}"/>
    <hyperlink ref="C262" location="'Бартер обвесы'!A507" display="'Бартер обвесы'!A507" xr:uid="{97E457EA-CC9F-4B4B-BFF4-6FCE37429E03}"/>
    <hyperlink ref="C263" location="'Бартер обвесы'!A514" display="'Бартер обвесы'!A514" xr:uid="{AFCA31C7-2B58-4D3A-A8EE-9CA71250D6CE}"/>
    <hyperlink ref="C264" location="'Бартер обвесы'!A521" display="'Бартер обвесы'!A521" xr:uid="{4499C49C-3C8E-4ED1-8D8F-99769A179A55}"/>
    <hyperlink ref="C265" location="'Бартер обвесы'!A528" display="'Бартер обвесы'!A528" xr:uid="{8642E592-8BE3-4185-8536-D9209172659D}"/>
    <hyperlink ref="C266" location="'Бартер обвесы'!A535" display="'Бартер обвесы'!A535" xr:uid="{1E23E8DE-A77D-4A9A-909A-D973A7DD9B40}"/>
    <hyperlink ref="C267" location="'Бартер обвесы'!A542" display="'Бартер обвесы'!A542" xr:uid="{0C89C87C-1172-4133-831D-05BF00904D89}"/>
    <hyperlink ref="C268" location="'Бартер обвесы'!A549" display="'Бартер обвесы'!A549" xr:uid="{FFAAEF62-AD2A-4D0A-888D-CE118CE47CBF}"/>
    <hyperlink ref="C269" location="'Бартер обвесы'!A556" display="'Бартер обвесы'!A556" xr:uid="{811B1177-61BB-4B16-B90E-B6B571B00DD4}"/>
    <hyperlink ref="C270" location="'Бартер обвесы'!A563" display="'Бартер обвесы'!A563" xr:uid="{7A8C9241-66D4-4ADE-8FFE-0F26427719C6}"/>
    <hyperlink ref="C271" location="'Бартер обвесы'!A570" display="'Бартер обвесы'!A570" xr:uid="{A8AF33FF-E5E6-4709-A278-247C08525C05}"/>
    <hyperlink ref="C272" location="'Бартер обвесы'!A577" display="'Бартер обвесы'!A577" xr:uid="{EBA33DFD-0833-45D4-A358-879064FC2A31}"/>
    <hyperlink ref="C273" location="'Бартер обвесы'!A584" display="'Бартер обвесы'!A584" xr:uid="{448663C3-B863-44BA-A405-EB5770CB21B2}"/>
    <hyperlink ref="C274" location="'Бартер обвесы'!A591" display="'Бартер обвесы'!A591" xr:uid="{6C11360F-2CCE-44B4-B540-3F9951892999}"/>
    <hyperlink ref="C275" location="'Бартер обвесы'!A598" display="'Бартер обвесы'!A598" xr:uid="{CBF51D41-842A-4FE7-BE92-0DB4853773C9}"/>
    <hyperlink ref="C276" location="'Бартер обвесы'!A605" display="'Бартер обвесы'!A605" xr:uid="{5FD684E9-5D3E-4369-9DA2-045D0E6E7953}"/>
    <hyperlink ref="C277" location="'Бартер обвесы'!A612" display="'Бартер обвесы'!A612" xr:uid="{AB6A6AC3-F2E5-4503-881F-696A548BE27D}"/>
    <hyperlink ref="C278" location="'Бартер обвесы'!A619" display="'Бартер обвесы'!A619" xr:uid="{AD68CFBF-1A74-4CD4-9948-4651D648AD68}"/>
    <hyperlink ref="C279" location="'Бартер обвесы'!A626" display="'Бартер обвесы'!A626" xr:uid="{C3C43E80-5547-40D1-9F87-F45B94EEBC48}"/>
    <hyperlink ref="C280" location="'Бартер обвесы'!A633" display="'Бартер обвесы'!A633" xr:uid="{02BDAAA9-3CC3-424D-B0D6-D0DBE1694E81}"/>
    <hyperlink ref="C281" location="'Бартер обвесы'!A640" display="'Бартер обвесы'!A640" xr:uid="{3E744630-636C-4EC0-AC8A-9576393536CD}"/>
    <hyperlink ref="C282" location="'Бартер обвесы'!A647" display="'Бартер обвесы'!A647" xr:uid="{F32F12E8-B23D-408E-96AA-8E50456609ED}"/>
    <hyperlink ref="C283" location="'Бартер обвесы'!A654" display="'Бартер обвесы'!A654" xr:uid="{540A6F88-C2DA-47ED-8A2B-200E41220115}"/>
    <hyperlink ref="C284" location="'Бартер обвесы'!A661" display="'Бартер обвесы'!A661" xr:uid="{9AA38C49-FFEA-47FD-8686-E746CABA6992}"/>
    <hyperlink ref="C285" location="'Бартер обвесы'!A668" display="'Бартер обвесы'!A668" xr:uid="{7E3779D3-DDCA-4D91-972D-84C427A2EE31}"/>
    <hyperlink ref="C286" location="'Бартер обвесы'!A675" display="'Бартер обвесы'!A675" xr:uid="{8E99E89D-B5EB-4624-840D-2B83C3424BF2}"/>
    <hyperlink ref="C287" location="'Бартер обвесы'!A682" display="'Бартер обвесы'!A682" xr:uid="{D06072D0-7704-4B30-AE23-C229D6BF9AB2}"/>
    <hyperlink ref="C288" location="'Бартер обвесы'!A689" display="'Бартер обвесы'!A689" xr:uid="{AE5B1C7C-8CEE-400A-8C2F-50A9969E10E7}"/>
    <hyperlink ref="C289" location="'Бартер обвесы'!A696" display="'Бартер обвесы'!A696" xr:uid="{C2D087BC-E107-4575-9600-0A36B976796A}"/>
    <hyperlink ref="C290" location="'Бартер обвесы'!A703" display="'Бартер обвесы'!A703" xr:uid="{52F8E054-5774-48FA-B07B-A231BAB3070F}"/>
    <hyperlink ref="C291" location="'Бартер обвесы'!A710" display="'Бартер обвесы'!A710" xr:uid="{9DF32A28-0B46-4607-859D-E10E524FB5D2}"/>
    <hyperlink ref="C292" location="'Бартер обвесы'!A717" display="'Бартер обвесы'!A717" xr:uid="{218C6390-2229-4187-919C-4338C0DD28BB}"/>
    <hyperlink ref="C293" location="'Бартер обвесы'!A724" display="'Бартер обвесы'!A724" xr:uid="{1B2571B6-0A70-4C08-B514-DB3138C0B73C}"/>
    <hyperlink ref="C294" location="'Бартер обвесы'!A731" display="'Бартер обвесы'!A731" xr:uid="{076A10E3-AF87-4AB7-B829-1BE8B12F5BCD}"/>
    <hyperlink ref="C295" location="'Бартер обвесы'!A738" display="'Бартер обвесы'!A738" xr:uid="{60FCE828-B358-47AD-AEF3-752A8AE342FA}"/>
    <hyperlink ref="C296" location="'Бартер обвесы'!A745" display="'Бартер обвесы'!A745" xr:uid="{027BB9C1-7AD7-4898-8BBD-0FA971444F1A}"/>
    <hyperlink ref="C297" location="'Бартер обвесы'!A752" display="'Бартер обвесы'!A752" xr:uid="{E10D72CD-78D0-457F-ADE5-0169B8F23464}"/>
    <hyperlink ref="C298" location="'Бартер обвесы'!A759" display="'Бартер обвесы'!A759" xr:uid="{86AEB666-99DA-47A9-A46B-4CFCBB08BF81}"/>
    <hyperlink ref="C299" location="'Бартер обвесы'!A766" display="'Бартер обвесы'!A766" xr:uid="{9EE4DAFC-6BEE-4AF3-8D72-9C54D4B740B3}"/>
    <hyperlink ref="C300" location="'Бартер обвесы'!A773" display="'Бартер обвесы'!A773" xr:uid="{856855FD-AAA8-4568-AB98-540506FB52A9}"/>
    <hyperlink ref="C301" location="'Бартер обвесы'!A780" display="'Бартер обвесы'!A780" xr:uid="{61EEBB9E-14E9-425A-A93D-7D5E1E838222}"/>
    <hyperlink ref="C302" location="'Бартер обвесы'!A787" display="'Бартер обвесы'!A787" xr:uid="{6434B3D3-F2B8-4E31-BF8C-C5ED9D0ED0E2}"/>
    <hyperlink ref="C303" location="'Бартер обвесы'!A794" display="'Бартер обвесы'!A794" xr:uid="{110F81BD-4600-4BA9-BD3D-969CAEE5E575}"/>
    <hyperlink ref="C304" location="'Бартер обвесы'!A801" display="'Бартер обвесы'!A801" xr:uid="{CDF0D847-FA03-4E06-B75D-B1CBB8C3DD5F}"/>
    <hyperlink ref="C305" location="'Бартер обвесы'!A808" display="'Бартер обвесы'!A808" xr:uid="{98B229E6-2AE0-4C24-9631-1C89F254327A}"/>
    <hyperlink ref="C306" location="'Бартер обвесы'!A815" display="'Бартер обвесы'!A815" xr:uid="{BDF83170-73EC-4F40-B887-177CE759028E}"/>
    <hyperlink ref="C307" location="'Бартер обвесы'!A822" display="'Бартер обвесы'!A822" xr:uid="{FFD2AF16-CADB-47A4-BE28-909308844D53}"/>
    <hyperlink ref="C308" location="'Бартер обвесы'!A829" display="'Бартер обвесы'!A829" xr:uid="{496E30BA-0340-4B68-9620-30F82D27EA77}"/>
    <hyperlink ref="C309" location="'Бартер обвесы'!A836" display="'Бартер обвесы'!A836" xr:uid="{D038FA8A-3585-42A5-99B5-48FDEC88257D}"/>
    <hyperlink ref="C310" location="'Бартер обвесы'!A843" display="'Бартер обвесы'!A843" xr:uid="{EFE31A8C-A040-41BC-8FAA-FE43E1121587}"/>
    <hyperlink ref="C311" location="'Бартер обвесы'!A850" display="'Бартер обвесы'!A850" xr:uid="{2A09A3AC-56CC-4AAC-9028-832F6D4B9D54}"/>
    <hyperlink ref="C312" location="'Бартер обвесы'!A857" display="'Бартер обвесы'!A857" xr:uid="{637E1171-4882-4C5A-AAAB-33DCD115B0ED}"/>
    <hyperlink ref="C313" location="'Бартер обвесы'!A864" display="'Бартер обвесы'!A864" xr:uid="{747BF199-E182-47EA-AFD8-3EB61E5F01BB}"/>
    <hyperlink ref="C314" location="'Бартер обвесы'!A871" display="'Бартер обвесы'!A871" xr:uid="{06B6AC69-F2D4-4929-A887-DB704D9E2EF9}"/>
    <hyperlink ref="C315" location="'Бартер обвесы'!A878" display="'Бартер обвесы'!A878" xr:uid="{27724B0B-3564-44A5-B3BD-729C2D0E5AAD}"/>
    <hyperlink ref="C316" location="'Бартер обвесы'!A885" display="'Бартер обвесы'!A885" xr:uid="{0354D7B9-9656-4317-9420-5A996C89306E}"/>
    <hyperlink ref="C317" location="'Бартер обвесы'!A892" display="'Бартер обвесы'!A892" xr:uid="{39EFCFE8-3A85-46F6-BFE5-9A1B63555103}"/>
    <hyperlink ref="C318" location="'Бартер обвесы'!A899" display="'Бартер обвесы'!A899" xr:uid="{0E6DCBDD-1B64-439E-9B9A-7BF7E9C7DDA6}"/>
    <hyperlink ref="C319" location="'Бартер обвесы'!A906" display="'Бартер обвесы'!A906" xr:uid="{870AD48C-046B-4F1A-8B96-3D2C883C99D9}"/>
    <hyperlink ref="C320" location="'Бартер обвесы'!A913" display="'Бартер обвесы'!A913" xr:uid="{8CD57F09-A0AA-47FB-AB65-A14EF3EC1ECF}"/>
    <hyperlink ref="C321" location="'Бартер обвесы'!A920" display="'Бартер обвесы'!A920" xr:uid="{C97CE543-E52C-4BF3-957A-BE9F76A938D0}"/>
    <hyperlink ref="C322" location="'Бартер обвесы'!A927" display="'Бартер обвесы'!A927" xr:uid="{0F38ADEB-891B-4C08-9794-6C8DEC134BF3}"/>
    <hyperlink ref="C323" location="'Бартер обвесы'!A934" display="'Бартер обвесы'!A934" xr:uid="{4C3C8A4D-3651-4440-AE85-30650F07547D}"/>
    <hyperlink ref="C324" location="'Бартер обвесы'!A941" display="'Бартер обвесы'!A941" xr:uid="{776FEB08-A5E7-4DEF-A1E6-0DB309D6FAF1}"/>
    <hyperlink ref="C325" location="'Бартер обвесы'!A948" display="'Бартер обвесы'!A948" xr:uid="{D62E8267-7AAA-4D8E-ABA3-2D55CDA5D514}"/>
    <hyperlink ref="C326" location="'Бартер обвесы'!A955" display="'Бартер обвесы'!A955" xr:uid="{150B984A-3485-4376-9C90-3B64E8AD4F82}"/>
    <hyperlink ref="C327" location="'Бартер контейнеры и сумки'!A3" display="'Бартер контейнеры и сумки'!A3" xr:uid="{701FBBF8-0A24-4F10-AF77-9AB3724A0DFF}"/>
    <hyperlink ref="C328" location="'Бартер контейнеры и сумки'!A10" display="'Бартер контейнеры и сумки'!A10" xr:uid="{B8F20ACB-F5A6-4F8A-A237-DDAE41F57C6D}"/>
    <hyperlink ref="C329" location="'Бартер контейнеры и сумки'!A17" display="'Бартер контейнеры и сумки'!A17" xr:uid="{D9605304-51D1-4A24-A415-57A22FE9118A}"/>
    <hyperlink ref="C330" location="'Бартер контейнеры и сумки'!A24" display="'Бартер контейнеры и сумки'!A24" xr:uid="{E556868C-8FEE-4FB9-B432-CDB906B4B09F}"/>
    <hyperlink ref="C331" location="'Бартер контейнеры и сумки'!A31" display="'Бартер контейнеры и сумки'!A31" xr:uid="{C251AE90-E7C0-4DB2-BD7E-FECF49CFED05}"/>
    <hyperlink ref="C332" location="'Бартер контейнеры и сумки'!A38" display="'Бартер контейнеры и сумки'!A38" xr:uid="{46738C0B-E294-408A-92BD-A5FB70110072}"/>
    <hyperlink ref="C333" location="'Бартер контейнеры и сумки'!A45" display="'Бартер контейнеры и сумки'!A45" xr:uid="{6A3AA03B-0172-4551-98A7-D3370A3C1F20}"/>
    <hyperlink ref="C334" location="'Бартер контейнеры и сумки'!A52" display="'Бартер контейнеры и сумки'!A52" xr:uid="{136D4B07-E5AA-4823-8BD7-DED8F54B16F6}"/>
    <hyperlink ref="C335" location="'Бартер контейнеры и сумки'!A59" display="'Бартер контейнеры и сумки'!A59" xr:uid="{99BACEAA-3933-416D-9A6C-496693922D52}"/>
    <hyperlink ref="C336" location="'Бартер контейнеры и сумки'!A66" display="'Бартер контейнеры и сумки'!A66" xr:uid="{1E3F54AE-9B50-42F7-8C1E-617599E18CA4}"/>
    <hyperlink ref="C337" location="'Бартер контейнеры и сумки'!A73" display="'Бартер контейнеры и сумки'!A73" xr:uid="{7B12EAFA-B009-4FA0-ADE3-68EED7B3E954}"/>
    <hyperlink ref="C338" location="'Бартер контейнеры и сумки'!A80" display="'Бартер контейнеры и сумки'!A80" xr:uid="{99FA7329-A6CB-42C8-BB88-F04B83606398}"/>
    <hyperlink ref="C339" location="'Бартер контейнеры и сумки'!A87" display="'Бартер контейнеры и сумки'!A87" xr:uid="{3B423E70-65DA-4959-BD36-B2BA0A2CBF90}"/>
    <hyperlink ref="C340" location="'Бартер контейнеры и сумки'!A94" display="'Бартер контейнеры и сумки'!A94" xr:uid="{083AE6F5-910C-4E30-A205-A2B3B793DA29}"/>
    <hyperlink ref="C341" location="'Бартер контейнеры и сумки'!A101" display="'Бартер контейнеры и сумки'!A101" xr:uid="{8C30F7C2-CA6C-45E6-B073-FC34C6778BF5}"/>
    <hyperlink ref="C342" location="'Бартер контейнеры и сумки'!A108" display="'Бартер контейнеры и сумки'!A108" xr:uid="{785FADB5-E8FC-45F6-8EE5-A170BC7D5AB1}"/>
    <hyperlink ref="C343" location="'Бартер контейнеры и сумки'!A115" display="'Бартер контейнеры и сумки'!A115" xr:uid="{350D8B6F-471C-4EA4-B3B4-E3EA5B58E4A5}"/>
    <hyperlink ref="C344" location="'Бартер контейнеры и сумки'!A122" display="'Бартер контейнеры и сумки'!A122" xr:uid="{6E2EE15A-4976-40A8-9E7B-3B771259009B}"/>
    <hyperlink ref="C345" location="'Бартер контейнеры и сумки'!A129" display="'Бартер контейнеры и сумки'!A129" xr:uid="{46B3286A-663F-4A86-AF7F-3475D35EB7E7}"/>
    <hyperlink ref="C346" location="'Бартер контейнеры и сумки'!A136" display="'Бартер контейнеры и сумки'!A136" xr:uid="{A83B04CB-219D-4498-B6B6-04A27D491AC6}"/>
    <hyperlink ref="C347" location="'Бартер контейнеры и сумки'!A143" display="'Бартер контейнеры и сумки'!A143" xr:uid="{30414CDA-0707-4EAB-887F-B1D9B0284F15}"/>
    <hyperlink ref="C348" location="'Бартер контейнеры и сумки'!A150" display="'Бартер контейнеры и сумки'!A150" xr:uid="{686CCBE5-5FD2-4549-BF41-45D4DE5F404B}"/>
    <hyperlink ref="C349" location="'Бартер контейнеры и сумки'!A157" display="'Бартер контейнеры и сумки'!A157" xr:uid="{C3EA389F-84CC-4330-BB02-8A0122F9FAA1}"/>
    <hyperlink ref="C350" location="'Бартер контейнеры и сумки'!A164" display="'Бартер контейнеры и сумки'!A164" xr:uid="{7AE6A300-57FF-49F1-82BA-2D8CF65E72E5}"/>
    <hyperlink ref="C351" location="'Бартер контейнеры и сумки'!A171" display="'Бартер контейнеры и сумки'!A171" xr:uid="{4F167673-F7F5-4B79-B5B7-3FC78661D528}"/>
    <hyperlink ref="C352" location="'Бартер контейнеры и сумки'!A178" display="'Бартер контейнеры и сумки'!A178" xr:uid="{CEEAAB31-F5E0-45B4-8096-5E64DD66C0A9}"/>
    <hyperlink ref="C353" location="'Бартер контейнеры и сумки'!A185" display="'Бартер контейнеры и сумки'!A185" xr:uid="{46B438AF-FAB1-4B1A-9189-82E02FFE84A9}"/>
    <hyperlink ref="C354" location="'Бартер контейнеры и сумки'!A192" display="'Бартер контейнеры и сумки'!A192" xr:uid="{FDFF0A8E-F3C6-4358-B57E-698103A6ECB3}"/>
    <hyperlink ref="C355" location="'Бартер контейнеры и сумки'!A199" display="'Бартер контейнеры и сумки'!A199" xr:uid="{FE6BE9E0-53B6-40D8-9394-F8E7406E754F}"/>
    <hyperlink ref="C356" location="'Бартер контейнеры и сумки'!A206" display="'Бартер контейнеры и сумки'!A206" xr:uid="{B077716D-29CE-40BF-94E7-7FE5C9A424F6}"/>
    <hyperlink ref="C357" location="'Бартер контейнеры и сумки'!A213" display="'Бартер контейнеры и сумки'!A213" xr:uid="{279C5252-8BE2-4682-8F92-C619A80C77E0}"/>
    <hyperlink ref="C358" location="'Бартер контейнеры и сумки'!A220" display="'Бартер контейнеры и сумки'!A220" xr:uid="{5B07C760-79A3-4E9C-AEA8-60AAD301D662}"/>
    <hyperlink ref="C359" location="'Бартер контейнеры и сумки'!A227" display="'Бартер контейнеры и сумки'!A227" xr:uid="{CFB9F19E-EEE1-47AF-B3CE-75531F1B399C}"/>
    <hyperlink ref="C360" location="'Бартер контейнеры и сумки'!A234" display="'Бартер контейнеры и сумки'!A234" xr:uid="{B474FCDD-75C7-48F7-9471-347E955DA0CD}"/>
    <hyperlink ref="C361" location="'Бартер контейнеры и сумки'!A241" display="'Бартер контейнеры и сумки'!A241" xr:uid="{B0337F6E-8480-4F32-BDAD-5B61BD82044E}"/>
    <hyperlink ref="C362" location="'Бартер контейнеры и сумки'!A248" display="'Бартер контейнеры и сумки'!A248" xr:uid="{12C1BC27-FA07-4F4E-BD20-DAADE8F3D462}"/>
    <hyperlink ref="C363" location="'Бартер контейнеры и сумки'!A255" display="'Бартер контейнеры и сумки'!A255" xr:uid="{E880A402-F0FB-4D7B-8F1A-F3DE4D5C800B}"/>
    <hyperlink ref="C364" location="'Бартер контейнеры и сумки'!A262" display="'Бартер контейнеры и сумки'!A262" xr:uid="{D7A452B3-6620-4782-8CA4-04311C3DE9EA}"/>
    <hyperlink ref="C365" location="'Бартер контейнеры и сумки'!A269" display="'Бартер контейнеры и сумки'!A269" xr:uid="{8590DB50-807B-4074-9B7D-9EB5D20E00DB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K181"/>
  <sheetViews>
    <sheetView showGridLines="0" workbookViewId="0">
      <selection activeCell="J105" sqref="J105"/>
    </sheetView>
  </sheetViews>
  <sheetFormatPr defaultRowHeight="14.25"/>
  <cols>
    <col min="1" max="1" width="14" style="11" customWidth="1"/>
    <col min="2" max="2" width="24" style="11" customWidth="1"/>
    <col min="3" max="3" width="14" style="11" customWidth="1"/>
    <col min="4" max="4" width="18.625" style="11" customWidth="1"/>
    <col min="5" max="10" width="12" style="11" customWidth="1"/>
    <col min="11" max="11" width="20" style="11" customWidth="1"/>
    <col min="12" max="14" width="0" style="11" hidden="1" customWidth="1"/>
    <col min="15" max="16384" width="9" style="11"/>
  </cols>
  <sheetData>
    <row r="1" spans="1:11" ht="24" customHeight="1" thickBot="1">
      <c r="A1" s="55" t="s">
        <v>43</v>
      </c>
      <c r="B1" s="55"/>
      <c r="C1" s="56" t="s">
        <v>44</v>
      </c>
      <c r="D1" s="57" t="s">
        <v>834</v>
      </c>
      <c r="E1" s="55" t="s">
        <v>832</v>
      </c>
      <c r="F1" s="55"/>
      <c r="G1" s="55"/>
      <c r="H1" s="55"/>
      <c r="I1" s="55"/>
      <c r="J1" s="55"/>
      <c r="K1" s="55"/>
    </row>
    <row r="2" spans="1:11" ht="24" hidden="1" customHeight="1" thickBot="1">
      <c r="A2" s="58"/>
      <c r="B2" s="59"/>
      <c r="C2" s="59"/>
      <c r="D2" s="60"/>
      <c r="E2" s="61"/>
      <c r="F2" s="61"/>
      <c r="G2" s="61"/>
      <c r="H2" s="61"/>
      <c r="I2" s="61"/>
      <c r="J2" s="61"/>
      <c r="K2" s="62"/>
    </row>
    <row r="3" spans="1:11" ht="60" hidden="1" customHeight="1" thickBot="1">
      <c r="A3" s="58"/>
      <c r="B3" s="59"/>
      <c r="C3" s="59"/>
      <c r="D3" s="63"/>
      <c r="E3" s="64"/>
      <c r="F3" s="64"/>
      <c r="G3" s="64"/>
      <c r="H3" s="64"/>
      <c r="I3" s="64"/>
      <c r="J3" s="64"/>
      <c r="K3" s="62"/>
    </row>
    <row r="4" spans="1:11" ht="14.45" hidden="1" customHeight="1" thickBot="1">
      <c r="A4" s="58"/>
      <c r="B4" s="59"/>
      <c r="C4" s="59"/>
      <c r="D4" s="63"/>
      <c r="E4" s="147"/>
      <c r="F4" s="147"/>
      <c r="G4" s="147"/>
      <c r="H4" s="147"/>
      <c r="I4" s="147"/>
      <c r="J4" s="147"/>
      <c r="K4" s="62"/>
    </row>
    <row r="5" spans="1:11" ht="14.45" hidden="1" customHeight="1" thickBot="1">
      <c r="A5" s="58"/>
      <c r="B5" s="59"/>
      <c r="C5" s="59"/>
      <c r="D5" s="63"/>
      <c r="E5" s="147"/>
      <c r="F5" s="147"/>
      <c r="G5" s="147"/>
      <c r="H5" s="147"/>
      <c r="I5" s="147"/>
      <c r="J5" s="147"/>
      <c r="K5" s="62"/>
    </row>
    <row r="6" spans="1:11" ht="24" hidden="1" customHeight="1" thickBot="1">
      <c r="A6" s="58"/>
      <c r="B6" s="59"/>
      <c r="C6" s="59"/>
      <c r="D6" s="65"/>
      <c r="E6" s="148"/>
      <c r="F6" s="66"/>
      <c r="G6" s="66"/>
      <c r="H6" s="66"/>
      <c r="I6" s="66"/>
      <c r="J6" s="66"/>
      <c r="K6" s="62"/>
    </row>
    <row r="7" spans="1:11" ht="3.95" hidden="1" customHeight="1" thickBot="1"/>
    <row r="8" spans="1:11" ht="24" hidden="1" customHeight="1" thickBot="1">
      <c r="A8" s="58"/>
      <c r="B8" s="59"/>
      <c r="C8" s="59"/>
      <c r="D8" s="60"/>
      <c r="E8" s="61"/>
      <c r="F8" s="61"/>
      <c r="G8" s="61"/>
      <c r="H8" s="61"/>
      <c r="I8" s="61"/>
      <c r="J8" s="61"/>
      <c r="K8" s="62"/>
    </row>
    <row r="9" spans="1:11" ht="60" hidden="1" customHeight="1" thickBot="1">
      <c r="A9" s="58"/>
      <c r="B9" s="59"/>
      <c r="C9" s="59"/>
      <c r="D9" s="63"/>
      <c r="E9" s="64"/>
      <c r="F9" s="64"/>
      <c r="G9" s="64"/>
      <c r="H9" s="64"/>
      <c r="I9" s="64"/>
      <c r="J9" s="64"/>
      <c r="K9" s="62"/>
    </row>
    <row r="10" spans="1:11" ht="14.45" hidden="1" customHeight="1" thickBot="1">
      <c r="A10" s="58"/>
      <c r="B10" s="59"/>
      <c r="C10" s="59"/>
      <c r="D10" s="63"/>
      <c r="E10" s="147"/>
      <c r="F10" s="147"/>
      <c r="G10" s="147"/>
      <c r="H10" s="147"/>
      <c r="I10" s="147"/>
      <c r="J10" s="147"/>
      <c r="K10" s="62"/>
    </row>
    <row r="11" spans="1:11" ht="14.45" hidden="1" customHeight="1" thickBot="1">
      <c r="A11" s="58"/>
      <c r="B11" s="59"/>
      <c r="C11" s="59"/>
      <c r="D11" s="63"/>
      <c r="E11" s="147"/>
      <c r="F11" s="147"/>
      <c r="G11" s="147"/>
      <c r="H11" s="147"/>
      <c r="I11" s="147"/>
      <c r="J11" s="147"/>
      <c r="K11" s="62"/>
    </row>
    <row r="12" spans="1:11" ht="24" hidden="1" customHeight="1" thickBot="1">
      <c r="A12" s="58"/>
      <c r="B12" s="59"/>
      <c r="C12" s="59"/>
      <c r="D12" s="65"/>
      <c r="E12" s="148"/>
      <c r="F12" s="66"/>
      <c r="G12" s="66"/>
      <c r="H12" s="66"/>
      <c r="I12" s="66"/>
      <c r="J12" s="66"/>
      <c r="K12" s="62"/>
    </row>
    <row r="13" spans="1:11" ht="3.95" hidden="1" customHeight="1" thickBot="1"/>
    <row r="14" spans="1:11" ht="24" hidden="1" customHeight="1" thickBot="1">
      <c r="A14" s="58"/>
      <c r="B14" s="59"/>
      <c r="C14" s="59"/>
      <c r="D14" s="60"/>
      <c r="E14" s="61"/>
      <c r="F14" s="61"/>
      <c r="G14" s="61"/>
      <c r="H14" s="61"/>
      <c r="I14" s="61"/>
      <c r="J14" s="61"/>
      <c r="K14" s="62"/>
    </row>
    <row r="15" spans="1:11" ht="60" hidden="1" customHeight="1" thickBot="1">
      <c r="A15" s="58"/>
      <c r="B15" s="59"/>
      <c r="C15" s="59"/>
      <c r="D15" s="63"/>
      <c r="E15" s="64"/>
      <c r="F15" s="64"/>
      <c r="G15" s="64"/>
      <c r="H15" s="64"/>
      <c r="I15" s="64"/>
      <c r="J15" s="64"/>
      <c r="K15" s="62"/>
    </row>
    <row r="16" spans="1:11" ht="14.45" hidden="1" customHeight="1" thickBot="1">
      <c r="A16" s="58"/>
      <c r="B16" s="59"/>
      <c r="C16" s="59"/>
      <c r="D16" s="63"/>
      <c r="E16" s="147"/>
      <c r="F16" s="147"/>
      <c r="G16" s="147"/>
      <c r="H16" s="147"/>
      <c r="I16" s="147"/>
      <c r="J16" s="147"/>
      <c r="K16" s="62"/>
    </row>
    <row r="17" spans="1:11" ht="14.45" hidden="1" customHeight="1" thickBot="1">
      <c r="A17" s="58"/>
      <c r="B17" s="59"/>
      <c r="C17" s="59"/>
      <c r="D17" s="63"/>
      <c r="E17" s="147"/>
      <c r="F17" s="147"/>
      <c r="G17" s="147"/>
      <c r="H17" s="147"/>
      <c r="I17" s="147"/>
      <c r="J17" s="147"/>
      <c r="K17" s="62"/>
    </row>
    <row r="18" spans="1:11" ht="24" hidden="1" customHeight="1" thickBot="1">
      <c r="A18" s="58"/>
      <c r="B18" s="59"/>
      <c r="C18" s="59"/>
      <c r="D18" s="65"/>
      <c r="E18" s="148"/>
      <c r="F18" s="66"/>
      <c r="G18" s="66"/>
      <c r="H18" s="66"/>
      <c r="I18" s="66"/>
      <c r="J18" s="66"/>
      <c r="K18" s="62"/>
    </row>
    <row r="19" spans="1:11" ht="3.95" hidden="1" customHeight="1" thickBot="1"/>
    <row r="20" spans="1:11" ht="24" hidden="1" customHeight="1" thickBot="1">
      <c r="A20" s="58"/>
      <c r="B20" s="59"/>
      <c r="C20" s="59"/>
      <c r="D20" s="60"/>
      <c r="E20" s="61"/>
      <c r="F20" s="61"/>
      <c r="G20" s="61"/>
      <c r="H20" s="61"/>
      <c r="I20" s="61"/>
      <c r="J20" s="61"/>
      <c r="K20" s="62"/>
    </row>
    <row r="21" spans="1:11" ht="60" hidden="1" customHeight="1" thickBot="1">
      <c r="A21" s="58"/>
      <c r="B21" s="59"/>
      <c r="C21" s="59"/>
      <c r="D21" s="63"/>
      <c r="E21" s="64"/>
      <c r="F21" s="64"/>
      <c r="G21" s="64"/>
      <c r="H21" s="64"/>
      <c r="I21" s="64"/>
      <c r="J21" s="64"/>
      <c r="K21" s="62"/>
    </row>
    <row r="22" spans="1:11" ht="14.45" hidden="1" customHeight="1" thickBot="1">
      <c r="A22" s="58"/>
      <c r="B22" s="59"/>
      <c r="C22" s="59"/>
      <c r="D22" s="63"/>
      <c r="E22" s="149"/>
      <c r="F22" s="147"/>
      <c r="G22" s="149"/>
      <c r="H22" s="149"/>
      <c r="I22" s="149"/>
      <c r="J22" s="149"/>
      <c r="K22" s="62"/>
    </row>
    <row r="23" spans="1:11" ht="14.45" hidden="1" customHeight="1" thickBot="1">
      <c r="A23" s="58"/>
      <c r="B23" s="59"/>
      <c r="C23" s="59"/>
      <c r="D23" s="63"/>
      <c r="E23" s="149"/>
      <c r="F23" s="147"/>
      <c r="G23" s="149"/>
      <c r="H23" s="149"/>
      <c r="I23" s="149"/>
      <c r="J23" s="149"/>
      <c r="K23" s="62"/>
    </row>
    <row r="24" spans="1:11" ht="24" hidden="1" customHeight="1" thickBot="1">
      <c r="A24" s="58"/>
      <c r="B24" s="59"/>
      <c r="C24" s="59"/>
      <c r="D24" s="65"/>
      <c r="E24" s="148"/>
      <c r="F24" s="66"/>
      <c r="G24" s="66"/>
      <c r="H24" s="66"/>
      <c r="I24" s="66"/>
      <c r="J24" s="66"/>
      <c r="K24" s="62"/>
    </row>
    <row r="25" spans="1:11" ht="3.95" hidden="1" customHeight="1" thickBot="1"/>
    <row r="26" spans="1:11" ht="24" hidden="1" customHeight="1" thickBot="1">
      <c r="A26" s="58"/>
      <c r="B26" s="59"/>
      <c r="C26" s="59"/>
      <c r="D26" s="60"/>
      <c r="E26" s="61"/>
      <c r="F26" s="61"/>
      <c r="G26" s="61"/>
      <c r="H26" s="61"/>
      <c r="I26" s="61"/>
      <c r="J26" s="61"/>
      <c r="K26" s="62"/>
    </row>
    <row r="27" spans="1:11" ht="60" hidden="1" customHeight="1" thickBot="1">
      <c r="A27" s="58"/>
      <c r="B27" s="59"/>
      <c r="C27" s="59"/>
      <c r="D27" s="63"/>
      <c r="E27" s="64"/>
      <c r="F27" s="64"/>
      <c r="G27" s="64"/>
      <c r="H27" s="64"/>
      <c r="I27" s="64"/>
      <c r="J27" s="64"/>
      <c r="K27" s="62"/>
    </row>
    <row r="28" spans="1:11" ht="14.45" hidden="1" customHeight="1" thickBot="1">
      <c r="A28" s="58"/>
      <c r="B28" s="59"/>
      <c r="C28" s="59"/>
      <c r="D28" s="63"/>
      <c r="E28" s="149"/>
      <c r="F28" s="149"/>
      <c r="G28" s="149"/>
      <c r="H28" s="149"/>
      <c r="I28" s="149"/>
      <c r="J28" s="149"/>
      <c r="K28" s="62"/>
    </row>
    <row r="29" spans="1:11" ht="14.45" hidden="1" customHeight="1" thickBot="1">
      <c r="A29" s="58"/>
      <c r="B29" s="59"/>
      <c r="C29" s="59"/>
      <c r="D29" s="63"/>
      <c r="E29" s="149"/>
      <c r="F29" s="149"/>
      <c r="G29" s="149"/>
      <c r="H29" s="149"/>
      <c r="I29" s="149"/>
      <c r="J29" s="149"/>
      <c r="K29" s="62"/>
    </row>
    <row r="30" spans="1:11" ht="24" hidden="1" customHeight="1" thickBot="1">
      <c r="A30" s="58"/>
      <c r="B30" s="59"/>
      <c r="C30" s="59"/>
      <c r="D30" s="65"/>
      <c r="E30" s="148"/>
      <c r="F30" s="66"/>
      <c r="G30" s="66"/>
      <c r="H30" s="66"/>
      <c r="I30" s="66"/>
      <c r="J30" s="66"/>
      <c r="K30" s="62"/>
    </row>
    <row r="31" spans="1:11" ht="3.95" hidden="1" customHeight="1" thickBot="1"/>
    <row r="32" spans="1:11" ht="24" hidden="1" customHeight="1" thickBot="1">
      <c r="A32" s="58"/>
      <c r="B32" s="59"/>
      <c r="C32" s="59"/>
      <c r="D32" s="60"/>
      <c r="E32" s="61"/>
      <c r="F32" s="61"/>
      <c r="G32" s="61"/>
      <c r="H32" s="61"/>
      <c r="I32" s="61"/>
      <c r="J32" s="61"/>
      <c r="K32" s="62"/>
    </row>
    <row r="33" spans="1:11" ht="60" hidden="1" customHeight="1" thickBot="1">
      <c r="A33" s="58"/>
      <c r="B33" s="59"/>
      <c r="C33" s="59"/>
      <c r="D33" s="63"/>
      <c r="E33" s="64"/>
      <c r="F33" s="64"/>
      <c r="G33" s="64"/>
      <c r="H33" s="64"/>
      <c r="I33" s="64"/>
      <c r="J33" s="64"/>
      <c r="K33" s="62"/>
    </row>
    <row r="34" spans="1:11" ht="14.45" hidden="1" customHeight="1" thickBot="1">
      <c r="A34" s="58"/>
      <c r="B34" s="59"/>
      <c r="C34" s="59"/>
      <c r="D34" s="63"/>
      <c r="E34" s="149"/>
      <c r="F34" s="149"/>
      <c r="G34" s="149"/>
      <c r="H34" s="149"/>
      <c r="I34" s="149"/>
      <c r="J34" s="149"/>
      <c r="K34" s="62"/>
    </row>
    <row r="35" spans="1:11" ht="14.45" hidden="1" customHeight="1" thickBot="1">
      <c r="A35" s="58"/>
      <c r="B35" s="59"/>
      <c r="C35" s="59"/>
      <c r="D35" s="63"/>
      <c r="E35" s="149"/>
      <c r="F35" s="149"/>
      <c r="G35" s="149"/>
      <c r="H35" s="149"/>
      <c r="I35" s="149"/>
      <c r="J35" s="149"/>
      <c r="K35" s="62"/>
    </row>
    <row r="36" spans="1:11" ht="24" hidden="1" customHeight="1" thickBot="1">
      <c r="A36" s="58"/>
      <c r="B36" s="59"/>
      <c r="C36" s="59"/>
      <c r="D36" s="65"/>
      <c r="E36" s="148"/>
      <c r="F36" s="66"/>
      <c r="G36" s="66"/>
      <c r="H36" s="66"/>
      <c r="I36" s="66"/>
      <c r="J36" s="66"/>
      <c r="K36" s="62"/>
    </row>
    <row r="37" spans="1:11" ht="3.95" hidden="1" customHeight="1" thickBot="1"/>
    <row r="38" spans="1:11" ht="24" hidden="1" customHeight="1" thickBot="1">
      <c r="A38" s="58"/>
      <c r="B38" s="59"/>
      <c r="C38" s="59"/>
      <c r="D38" s="60"/>
      <c r="E38" s="61"/>
      <c r="F38" s="61"/>
      <c r="G38" s="61"/>
      <c r="H38" s="61"/>
      <c r="I38" s="61"/>
      <c r="J38" s="61"/>
      <c r="K38" s="62"/>
    </row>
    <row r="39" spans="1:11" ht="60" hidden="1" customHeight="1" thickBot="1">
      <c r="A39" s="58"/>
      <c r="B39" s="59"/>
      <c r="C39" s="59"/>
      <c r="D39" s="63"/>
      <c r="E39" s="64"/>
      <c r="F39" s="64"/>
      <c r="G39" s="64"/>
      <c r="H39" s="64"/>
      <c r="I39" s="64"/>
      <c r="J39" s="64"/>
      <c r="K39" s="62"/>
    </row>
    <row r="40" spans="1:11" ht="14.45" hidden="1" customHeight="1" thickBot="1">
      <c r="A40" s="58"/>
      <c r="B40" s="59"/>
      <c r="C40" s="59"/>
      <c r="D40" s="63"/>
      <c r="E40" s="149"/>
      <c r="F40" s="149"/>
      <c r="G40" s="149"/>
      <c r="H40" s="149"/>
      <c r="I40" s="149"/>
      <c r="J40" s="149"/>
      <c r="K40" s="62"/>
    </row>
    <row r="41" spans="1:11" ht="14.45" hidden="1" customHeight="1" thickBot="1">
      <c r="A41" s="58"/>
      <c r="B41" s="59"/>
      <c r="C41" s="59"/>
      <c r="D41" s="63"/>
      <c r="E41" s="149"/>
      <c r="F41" s="149"/>
      <c r="G41" s="149"/>
      <c r="H41" s="149"/>
      <c r="I41" s="149"/>
      <c r="J41" s="149"/>
      <c r="K41" s="62"/>
    </row>
    <row r="42" spans="1:11" ht="24" hidden="1" customHeight="1" thickBot="1">
      <c r="A42" s="58"/>
      <c r="B42" s="59"/>
      <c r="C42" s="59"/>
      <c r="D42" s="65"/>
      <c r="E42" s="148"/>
      <c r="F42" s="66"/>
      <c r="G42" s="66"/>
      <c r="H42" s="66"/>
      <c r="I42" s="66"/>
      <c r="J42" s="66"/>
      <c r="K42" s="62"/>
    </row>
    <row r="43" spans="1:11" ht="3.95" hidden="1" customHeight="1" thickBot="1"/>
    <row r="44" spans="1:11" ht="24" hidden="1" customHeight="1" thickBot="1">
      <c r="A44" s="58"/>
      <c r="B44" s="59"/>
      <c r="C44" s="59"/>
      <c r="D44" s="60"/>
      <c r="E44" s="61"/>
      <c r="F44" s="61"/>
      <c r="G44" s="61"/>
      <c r="H44" s="61"/>
      <c r="I44" s="61"/>
      <c r="J44" s="61"/>
      <c r="K44" s="62"/>
    </row>
    <row r="45" spans="1:11" ht="60" hidden="1" customHeight="1" thickBot="1">
      <c r="A45" s="58"/>
      <c r="B45" s="59"/>
      <c r="C45" s="59"/>
      <c r="D45" s="63"/>
      <c r="E45" s="64"/>
      <c r="F45" s="64"/>
      <c r="G45" s="64"/>
      <c r="H45" s="64"/>
      <c r="I45" s="64"/>
      <c r="J45" s="64"/>
      <c r="K45" s="62"/>
    </row>
    <row r="46" spans="1:11" ht="14.45" hidden="1" customHeight="1" thickBot="1">
      <c r="A46" s="58"/>
      <c r="B46" s="59"/>
      <c r="C46" s="59"/>
      <c r="D46" s="63"/>
      <c r="E46" s="149"/>
      <c r="F46" s="147"/>
      <c r="G46" s="149"/>
      <c r="H46" s="149"/>
      <c r="I46" s="149"/>
      <c r="J46" s="149"/>
      <c r="K46" s="62"/>
    </row>
    <row r="47" spans="1:11" ht="14.45" hidden="1" customHeight="1" thickBot="1">
      <c r="A47" s="58"/>
      <c r="B47" s="59"/>
      <c r="C47" s="59"/>
      <c r="D47" s="63"/>
      <c r="E47" s="149"/>
      <c r="F47" s="147"/>
      <c r="G47" s="149"/>
      <c r="H47" s="149"/>
      <c r="I47" s="149"/>
      <c r="J47" s="149"/>
      <c r="K47" s="62"/>
    </row>
    <row r="48" spans="1:11" ht="24" hidden="1" customHeight="1" thickBot="1">
      <c r="A48" s="58"/>
      <c r="B48" s="59"/>
      <c r="C48" s="59"/>
      <c r="D48" s="65"/>
      <c r="E48" s="148"/>
      <c r="F48" s="66"/>
      <c r="G48" s="66"/>
      <c r="H48" s="66"/>
      <c r="I48" s="66"/>
      <c r="J48" s="66"/>
      <c r="K48" s="62"/>
    </row>
    <row r="49" spans="1:11" ht="3.95" hidden="1" customHeight="1" thickBot="1"/>
    <row r="50" spans="1:11" ht="24" hidden="1" customHeight="1" thickBot="1">
      <c r="A50" s="58"/>
      <c r="B50" s="59"/>
      <c r="C50" s="59"/>
      <c r="D50" s="60"/>
      <c r="E50" s="61"/>
      <c r="F50" s="61"/>
      <c r="G50" s="61"/>
      <c r="H50" s="61"/>
      <c r="I50" s="61"/>
      <c r="J50" s="61"/>
      <c r="K50" s="62"/>
    </row>
    <row r="51" spans="1:11" ht="60" hidden="1" customHeight="1" thickBot="1">
      <c r="A51" s="58"/>
      <c r="B51" s="59"/>
      <c r="C51" s="59"/>
      <c r="D51" s="63"/>
      <c r="E51" s="64"/>
      <c r="F51" s="64"/>
      <c r="G51" s="64"/>
      <c r="H51" s="64"/>
      <c r="I51" s="64"/>
      <c r="J51" s="64"/>
      <c r="K51" s="62"/>
    </row>
    <row r="52" spans="1:11" ht="14.45" hidden="1" customHeight="1" thickBot="1">
      <c r="A52" s="58"/>
      <c r="B52" s="59"/>
      <c r="C52" s="59"/>
      <c r="D52" s="63"/>
      <c r="E52" s="149"/>
      <c r="F52" s="149"/>
      <c r="G52" s="149"/>
      <c r="H52" s="149"/>
      <c r="I52" s="149"/>
      <c r="J52" s="149"/>
      <c r="K52" s="62"/>
    </row>
    <row r="53" spans="1:11" ht="14.45" hidden="1" customHeight="1" thickBot="1">
      <c r="A53" s="58"/>
      <c r="B53" s="59"/>
      <c r="C53" s="59"/>
      <c r="D53" s="63"/>
      <c r="E53" s="149"/>
      <c r="F53" s="149"/>
      <c r="G53" s="149"/>
      <c r="H53" s="149"/>
      <c r="I53" s="149"/>
      <c r="J53" s="149"/>
      <c r="K53" s="62"/>
    </row>
    <row r="54" spans="1:11" ht="24" hidden="1" customHeight="1" thickBot="1">
      <c r="A54" s="58"/>
      <c r="B54" s="59"/>
      <c r="C54" s="59"/>
      <c r="D54" s="65"/>
      <c r="E54" s="148"/>
      <c r="F54" s="66"/>
      <c r="G54" s="66"/>
      <c r="H54" s="66"/>
      <c r="I54" s="66"/>
      <c r="J54" s="66"/>
      <c r="K54" s="62"/>
    </row>
    <row r="55" spans="1:11" ht="3.95" hidden="1" customHeight="1" thickBot="1"/>
    <row r="56" spans="1:11" ht="24" hidden="1" customHeight="1" thickBot="1">
      <c r="A56" s="58"/>
      <c r="B56" s="59"/>
      <c r="C56" s="59"/>
      <c r="D56" s="60"/>
      <c r="E56" s="61"/>
      <c r="F56" s="61"/>
      <c r="G56" s="61"/>
      <c r="H56" s="61"/>
      <c r="I56" s="61"/>
      <c r="J56" s="61"/>
      <c r="K56" s="62"/>
    </row>
    <row r="57" spans="1:11" ht="60" hidden="1" customHeight="1" thickBot="1">
      <c r="A57" s="58"/>
      <c r="B57" s="59"/>
      <c r="C57" s="59"/>
      <c r="D57" s="63"/>
      <c r="E57" s="64"/>
      <c r="F57" s="64"/>
      <c r="G57" s="64"/>
      <c r="H57" s="64"/>
      <c r="I57" s="64"/>
      <c r="J57" s="64"/>
      <c r="K57" s="62"/>
    </row>
    <row r="58" spans="1:11" ht="14.45" hidden="1" customHeight="1" thickBot="1">
      <c r="A58" s="58"/>
      <c r="B58" s="59"/>
      <c r="C58" s="59"/>
      <c r="D58" s="63"/>
      <c r="E58" s="149"/>
      <c r="F58" s="149"/>
      <c r="G58" s="149"/>
      <c r="H58" s="149"/>
      <c r="I58" s="149"/>
      <c r="J58" s="149"/>
      <c r="K58" s="62"/>
    </row>
    <row r="59" spans="1:11" ht="14.45" hidden="1" customHeight="1" thickBot="1">
      <c r="A59" s="58"/>
      <c r="B59" s="59"/>
      <c r="C59" s="59"/>
      <c r="D59" s="63"/>
      <c r="E59" s="149"/>
      <c r="F59" s="149"/>
      <c r="G59" s="149"/>
      <c r="H59" s="149"/>
      <c r="I59" s="149"/>
      <c r="J59" s="149"/>
      <c r="K59" s="62"/>
    </row>
    <row r="60" spans="1:11" ht="24" hidden="1" customHeight="1" thickBot="1">
      <c r="A60" s="58"/>
      <c r="B60" s="59"/>
      <c r="C60" s="59"/>
      <c r="D60" s="65"/>
      <c r="E60" s="148"/>
      <c r="F60" s="66"/>
      <c r="G60" s="66"/>
      <c r="H60" s="66"/>
      <c r="I60" s="66"/>
      <c r="J60" s="66"/>
      <c r="K60" s="62"/>
    </row>
    <row r="61" spans="1:11" ht="3.95" hidden="1" customHeight="1" thickBot="1"/>
    <row r="62" spans="1:11" ht="24" hidden="1" customHeight="1" thickBot="1">
      <c r="A62" s="58"/>
      <c r="B62" s="59"/>
      <c r="C62" s="59"/>
      <c r="D62" s="60"/>
      <c r="E62" s="61"/>
      <c r="F62" s="61"/>
      <c r="G62" s="61"/>
      <c r="H62" s="61"/>
      <c r="I62" s="61"/>
      <c r="J62" s="61"/>
      <c r="K62" s="62"/>
    </row>
    <row r="63" spans="1:11" ht="60" hidden="1" customHeight="1" thickBot="1">
      <c r="A63" s="58"/>
      <c r="B63" s="59"/>
      <c r="C63" s="59"/>
      <c r="D63" s="63"/>
      <c r="E63" s="64"/>
      <c r="F63" s="64"/>
      <c r="G63" s="64"/>
      <c r="H63" s="64"/>
      <c r="I63" s="64"/>
      <c r="J63" s="64"/>
      <c r="K63" s="62"/>
    </row>
    <row r="64" spans="1:11" ht="14.45" hidden="1" customHeight="1" thickBot="1">
      <c r="A64" s="58"/>
      <c r="B64" s="59"/>
      <c r="C64" s="59"/>
      <c r="D64" s="63"/>
      <c r="E64" s="149"/>
      <c r="F64" s="149"/>
      <c r="G64" s="149"/>
      <c r="H64" s="149"/>
      <c r="I64" s="149"/>
      <c r="J64" s="149"/>
      <c r="K64" s="62"/>
    </row>
    <row r="65" spans="1:11" ht="14.45" hidden="1" customHeight="1" thickBot="1">
      <c r="A65" s="58"/>
      <c r="B65" s="59"/>
      <c r="C65" s="59"/>
      <c r="D65" s="63"/>
      <c r="E65" s="149"/>
      <c r="F65" s="149"/>
      <c r="G65" s="149"/>
      <c r="H65" s="149"/>
      <c r="I65" s="149"/>
      <c r="J65" s="149"/>
      <c r="K65" s="62"/>
    </row>
    <row r="66" spans="1:11" ht="24" hidden="1" customHeight="1" thickBot="1">
      <c r="A66" s="58"/>
      <c r="B66" s="59"/>
      <c r="C66" s="59"/>
      <c r="D66" s="65"/>
      <c r="E66" s="148"/>
      <c r="F66" s="66"/>
      <c r="G66" s="66"/>
      <c r="H66" s="66"/>
      <c r="I66" s="66"/>
      <c r="J66" s="66"/>
      <c r="K66" s="62"/>
    </row>
    <row r="67" spans="1:11" ht="3.95" hidden="1" customHeight="1" thickBot="1"/>
    <row r="68" spans="1:11" ht="24" hidden="1" customHeight="1" thickBot="1">
      <c r="A68" s="58"/>
      <c r="B68" s="59"/>
      <c r="C68" s="59"/>
      <c r="D68" s="60"/>
      <c r="E68" s="61"/>
      <c r="F68" s="61"/>
      <c r="G68" s="61"/>
      <c r="H68" s="61"/>
      <c r="I68" s="61"/>
      <c r="J68" s="61"/>
      <c r="K68" s="62"/>
    </row>
    <row r="69" spans="1:11" ht="60" hidden="1" customHeight="1" thickBot="1">
      <c r="A69" s="58"/>
      <c r="B69" s="59"/>
      <c r="C69" s="59"/>
      <c r="D69" s="63"/>
      <c r="E69" s="64"/>
      <c r="F69" s="64"/>
      <c r="G69" s="64"/>
      <c r="H69" s="64"/>
      <c r="I69" s="64"/>
      <c r="J69" s="64"/>
      <c r="K69" s="62"/>
    </row>
    <row r="70" spans="1:11" ht="14.45" hidden="1" customHeight="1" thickBot="1">
      <c r="A70" s="58"/>
      <c r="B70" s="59"/>
      <c r="C70" s="59"/>
      <c r="D70" s="63"/>
      <c r="E70" s="149"/>
      <c r="F70" s="149"/>
      <c r="G70" s="149"/>
      <c r="H70" s="149"/>
      <c r="I70" s="149"/>
      <c r="J70" s="149"/>
      <c r="K70" s="62"/>
    </row>
    <row r="71" spans="1:11" ht="14.45" hidden="1" customHeight="1" thickBot="1">
      <c r="A71" s="58"/>
      <c r="B71" s="59"/>
      <c r="C71" s="59"/>
      <c r="D71" s="63"/>
      <c r="E71" s="149"/>
      <c r="F71" s="149"/>
      <c r="G71" s="149"/>
      <c r="H71" s="149"/>
      <c r="I71" s="149"/>
      <c r="J71" s="149"/>
      <c r="K71" s="62"/>
    </row>
    <row r="72" spans="1:11" ht="24" hidden="1" customHeight="1" thickBot="1">
      <c r="A72" s="58"/>
      <c r="B72" s="59"/>
      <c r="C72" s="59"/>
      <c r="D72" s="65"/>
      <c r="E72" s="148"/>
      <c r="F72" s="66"/>
      <c r="G72" s="66"/>
      <c r="H72" s="66"/>
      <c r="I72" s="66"/>
      <c r="J72" s="66"/>
      <c r="K72" s="62"/>
    </row>
    <row r="73" spans="1:11" ht="3.95" hidden="1" customHeight="1" thickBot="1"/>
    <row r="74" spans="1:11" ht="24" hidden="1" customHeight="1" thickBot="1">
      <c r="A74" s="58"/>
      <c r="B74" s="59"/>
      <c r="C74" s="59"/>
      <c r="D74" s="60"/>
      <c r="E74" s="61"/>
      <c r="F74" s="61"/>
      <c r="G74" s="61"/>
      <c r="H74" s="61"/>
      <c r="I74" s="61"/>
      <c r="J74" s="61"/>
      <c r="K74" s="62"/>
    </row>
    <row r="75" spans="1:11" ht="60" hidden="1" customHeight="1" thickBot="1">
      <c r="A75" s="58"/>
      <c r="B75" s="59"/>
      <c r="C75" s="59"/>
      <c r="D75" s="63"/>
      <c r="E75" s="64"/>
      <c r="F75" s="64"/>
      <c r="G75" s="64"/>
      <c r="H75" s="64"/>
      <c r="I75" s="64"/>
      <c r="J75" s="64"/>
      <c r="K75" s="62"/>
    </row>
    <row r="76" spans="1:11" ht="14.45" hidden="1" customHeight="1" thickBot="1">
      <c r="A76" s="58"/>
      <c r="B76" s="59"/>
      <c r="C76" s="59"/>
      <c r="D76" s="63"/>
      <c r="E76" s="149"/>
      <c r="F76" s="149"/>
      <c r="G76" s="149"/>
      <c r="H76" s="147"/>
      <c r="I76" s="149"/>
      <c r="J76" s="149"/>
      <c r="K76" s="62"/>
    </row>
    <row r="77" spans="1:11" ht="14.45" hidden="1" customHeight="1" thickBot="1">
      <c r="A77" s="58"/>
      <c r="B77" s="59"/>
      <c r="C77" s="59"/>
      <c r="D77" s="63"/>
      <c r="E77" s="149"/>
      <c r="F77" s="149"/>
      <c r="G77" s="149"/>
      <c r="H77" s="147"/>
      <c r="I77" s="149"/>
      <c r="J77" s="149"/>
      <c r="K77" s="62"/>
    </row>
    <row r="78" spans="1:11" ht="24" hidden="1" customHeight="1" thickBot="1">
      <c r="A78" s="58"/>
      <c r="B78" s="59"/>
      <c r="C78" s="59"/>
      <c r="D78" s="65"/>
      <c r="E78" s="148"/>
      <c r="F78" s="66"/>
      <c r="G78" s="66"/>
      <c r="H78" s="66"/>
      <c r="I78" s="66"/>
      <c r="J78" s="66"/>
      <c r="K78" s="62"/>
    </row>
    <row r="79" spans="1:11" ht="3.95" hidden="1" customHeight="1" thickBot="1"/>
    <row r="80" spans="1:11" ht="24" hidden="1" customHeight="1" thickBot="1">
      <c r="A80" s="58"/>
      <c r="B80" s="59"/>
      <c r="C80" s="59"/>
      <c r="D80" s="60"/>
      <c r="E80" s="61"/>
      <c r="F80" s="61"/>
      <c r="G80" s="61"/>
      <c r="H80" s="61"/>
      <c r="I80" s="61"/>
      <c r="J80" s="61"/>
      <c r="K80" s="62"/>
    </row>
    <row r="81" spans="1:11" ht="60" hidden="1" customHeight="1" thickBot="1">
      <c r="A81" s="58"/>
      <c r="B81" s="59"/>
      <c r="C81" s="59"/>
      <c r="D81" s="63"/>
      <c r="E81" s="64"/>
      <c r="F81" s="64"/>
      <c r="G81" s="64"/>
      <c r="H81" s="64"/>
      <c r="I81" s="64"/>
      <c r="J81" s="64"/>
      <c r="K81" s="62"/>
    </row>
    <row r="82" spans="1:11" ht="14.45" hidden="1" customHeight="1" thickBot="1">
      <c r="A82" s="58"/>
      <c r="B82" s="59"/>
      <c r="C82" s="59"/>
      <c r="D82" s="63"/>
      <c r="E82" s="149"/>
      <c r="F82" s="149"/>
      <c r="G82" s="149"/>
      <c r="H82" s="147"/>
      <c r="I82" s="149"/>
      <c r="J82" s="150"/>
      <c r="K82" s="62"/>
    </row>
    <row r="83" spans="1:11" ht="14.45" hidden="1" customHeight="1" thickBot="1">
      <c r="A83" s="58"/>
      <c r="B83" s="59"/>
      <c r="C83" s="59"/>
      <c r="D83" s="63"/>
      <c r="E83" s="149"/>
      <c r="F83" s="149"/>
      <c r="G83" s="149"/>
      <c r="H83" s="147"/>
      <c r="I83" s="149"/>
      <c r="J83" s="150"/>
      <c r="K83" s="62"/>
    </row>
    <row r="84" spans="1:11" ht="24" hidden="1" customHeight="1" thickBot="1">
      <c r="A84" s="58"/>
      <c r="B84" s="59"/>
      <c r="C84" s="59"/>
      <c r="D84" s="65"/>
      <c r="E84" s="148"/>
      <c r="F84" s="66"/>
      <c r="G84" s="66"/>
      <c r="H84" s="66"/>
      <c r="I84" s="66"/>
      <c r="J84" s="66"/>
      <c r="K84" s="62"/>
    </row>
    <row r="85" spans="1:11" ht="3.95" hidden="1" customHeight="1" thickBot="1"/>
    <row r="86" spans="1:11" ht="24" hidden="1" customHeight="1" thickBot="1">
      <c r="A86" s="58"/>
      <c r="B86" s="59"/>
      <c r="C86" s="59"/>
      <c r="D86" s="60"/>
      <c r="E86" s="61"/>
      <c r="F86" s="61"/>
      <c r="G86" s="61"/>
      <c r="H86" s="61"/>
      <c r="I86" s="61"/>
      <c r="J86" s="61"/>
      <c r="K86" s="62"/>
    </row>
    <row r="87" spans="1:11" ht="60" hidden="1" customHeight="1" thickBot="1">
      <c r="A87" s="58"/>
      <c r="B87" s="59"/>
      <c r="C87" s="59"/>
      <c r="D87" s="63"/>
      <c r="E87" s="64"/>
      <c r="F87" s="64"/>
      <c r="G87" s="64"/>
      <c r="H87" s="64"/>
      <c r="I87" s="64"/>
      <c r="J87" s="64"/>
      <c r="K87" s="62"/>
    </row>
    <row r="88" spans="1:11" ht="14.45" hidden="1" customHeight="1" thickBot="1">
      <c r="A88" s="58"/>
      <c r="B88" s="59"/>
      <c r="C88" s="59"/>
      <c r="D88" s="63"/>
      <c r="E88" s="149"/>
      <c r="F88" s="149"/>
      <c r="G88" s="149"/>
      <c r="H88" s="149"/>
      <c r="I88" s="147"/>
      <c r="J88" s="149"/>
      <c r="K88" s="62"/>
    </row>
    <row r="89" spans="1:11" ht="14.45" hidden="1" customHeight="1" thickBot="1">
      <c r="A89" s="58"/>
      <c r="B89" s="59"/>
      <c r="C89" s="59"/>
      <c r="D89" s="63"/>
      <c r="E89" s="149"/>
      <c r="F89" s="149"/>
      <c r="G89" s="149"/>
      <c r="H89" s="149"/>
      <c r="I89" s="147"/>
      <c r="J89" s="149"/>
      <c r="K89" s="62"/>
    </row>
    <row r="90" spans="1:11" ht="24" hidden="1" customHeight="1" thickBot="1">
      <c r="A90" s="58"/>
      <c r="B90" s="59"/>
      <c r="C90" s="59"/>
      <c r="D90" s="65"/>
      <c r="E90" s="148"/>
      <c r="F90" s="66"/>
      <c r="G90" s="66"/>
      <c r="H90" s="66"/>
      <c r="I90" s="66"/>
      <c r="J90" s="66"/>
      <c r="K90" s="62"/>
    </row>
    <row r="91" spans="1:11" ht="3.95" hidden="1" customHeight="1" thickBot="1"/>
    <row r="92" spans="1:11" ht="24" hidden="1" customHeight="1" thickBot="1">
      <c r="A92" s="58"/>
      <c r="B92" s="59"/>
      <c r="C92" s="59"/>
      <c r="D92" s="60"/>
      <c r="E92" s="61"/>
      <c r="F92" s="61"/>
      <c r="G92" s="61"/>
      <c r="H92" s="61"/>
      <c r="I92" s="61"/>
      <c r="J92" s="61"/>
      <c r="K92" s="62"/>
    </row>
    <row r="93" spans="1:11" ht="60" hidden="1" customHeight="1" thickBot="1">
      <c r="A93" s="58"/>
      <c r="B93" s="59"/>
      <c r="C93" s="59"/>
      <c r="D93" s="63"/>
      <c r="E93" s="64"/>
      <c r="F93" s="64"/>
      <c r="G93" s="64"/>
      <c r="H93" s="64"/>
      <c r="I93" s="64"/>
      <c r="J93" s="64"/>
      <c r="K93" s="62"/>
    </row>
    <row r="94" spans="1:11" ht="14.45" hidden="1" customHeight="1" thickBot="1">
      <c r="A94" s="58"/>
      <c r="B94" s="59"/>
      <c r="C94" s="59"/>
      <c r="D94" s="63"/>
      <c r="E94" s="149"/>
      <c r="F94" s="147"/>
      <c r="G94" s="149"/>
      <c r="H94" s="149"/>
      <c r="I94" s="149"/>
      <c r="J94" s="149"/>
      <c r="K94" s="62"/>
    </row>
    <row r="95" spans="1:11" ht="14.45" hidden="1" customHeight="1" thickBot="1">
      <c r="A95" s="58"/>
      <c r="B95" s="59"/>
      <c r="C95" s="59"/>
      <c r="D95" s="63"/>
      <c r="E95" s="149"/>
      <c r="F95" s="147"/>
      <c r="G95" s="149"/>
      <c r="H95" s="149"/>
      <c r="I95" s="149"/>
      <c r="J95" s="149"/>
      <c r="K95" s="62"/>
    </row>
    <row r="96" spans="1:11" ht="24" hidden="1" customHeight="1" thickBot="1">
      <c r="A96" s="58"/>
      <c r="B96" s="59"/>
      <c r="C96" s="59"/>
      <c r="D96" s="65"/>
      <c r="E96" s="148"/>
      <c r="F96" s="66"/>
      <c r="G96" s="66"/>
      <c r="H96" s="66"/>
      <c r="I96" s="66"/>
      <c r="J96" s="66"/>
      <c r="K96" s="62"/>
    </row>
    <row r="97" spans="1:11" ht="3.95" hidden="1" customHeight="1" thickBot="1"/>
    <row r="98" spans="1:11" ht="24" hidden="1" customHeight="1" thickBot="1">
      <c r="A98" s="58"/>
      <c r="B98" s="59"/>
      <c r="C98" s="59"/>
      <c r="D98" s="60"/>
      <c r="E98" s="61"/>
      <c r="F98" s="61"/>
      <c r="G98" s="61"/>
      <c r="H98" s="61"/>
      <c r="I98" s="61"/>
      <c r="J98" s="61"/>
      <c r="K98" s="62"/>
    </row>
    <row r="99" spans="1:11" ht="60" hidden="1" customHeight="1" thickBot="1">
      <c r="A99" s="58"/>
      <c r="B99" s="59"/>
      <c r="C99" s="59"/>
      <c r="D99" s="63"/>
      <c r="E99" s="64"/>
      <c r="F99" s="64"/>
      <c r="G99" s="64"/>
      <c r="H99" s="64"/>
      <c r="I99" s="64"/>
      <c r="J99" s="64"/>
      <c r="K99" s="62"/>
    </row>
    <row r="100" spans="1:11" ht="14.45" hidden="1" customHeight="1" thickBot="1">
      <c r="A100" s="58"/>
      <c r="B100" s="59"/>
      <c r="C100" s="59"/>
      <c r="D100" s="63"/>
      <c r="E100" s="149"/>
      <c r="F100" s="147"/>
      <c r="G100" s="149"/>
      <c r="H100" s="149"/>
      <c r="I100" s="149"/>
      <c r="J100" s="149"/>
      <c r="K100" s="62"/>
    </row>
    <row r="101" spans="1:11" ht="14.45" hidden="1" customHeight="1" thickBot="1">
      <c r="A101" s="58"/>
      <c r="B101" s="59"/>
      <c r="C101" s="59"/>
      <c r="D101" s="63"/>
      <c r="E101" s="149"/>
      <c r="F101" s="147"/>
      <c r="G101" s="149"/>
      <c r="H101" s="149"/>
      <c r="I101" s="149"/>
      <c r="J101" s="149"/>
      <c r="K101" s="62"/>
    </row>
    <row r="102" spans="1:11" ht="24" hidden="1" customHeight="1" thickBot="1">
      <c r="A102" s="58"/>
      <c r="B102" s="59"/>
      <c r="C102" s="59"/>
      <c r="D102" s="65"/>
      <c r="E102" s="148"/>
      <c r="F102" s="66"/>
      <c r="G102" s="66"/>
      <c r="H102" s="66"/>
      <c r="I102" s="66"/>
      <c r="J102" s="66"/>
      <c r="K102" s="62"/>
    </row>
    <row r="103" spans="1:11" ht="3.95" hidden="1" customHeight="1" thickBot="1"/>
    <row r="104" spans="1:11" ht="24" hidden="1" customHeight="1" thickBot="1">
      <c r="A104" s="58"/>
      <c r="B104" s="59"/>
      <c r="C104" s="59"/>
      <c r="D104" s="60"/>
      <c r="E104" s="61"/>
      <c r="F104" s="61"/>
      <c r="G104" s="61"/>
      <c r="H104" s="61"/>
      <c r="I104" s="61"/>
      <c r="J104" s="61"/>
      <c r="K104" s="62"/>
    </row>
    <row r="105" spans="1:11" ht="60" hidden="1" customHeight="1" thickBot="1">
      <c r="A105" s="58"/>
      <c r="B105" s="59"/>
      <c r="C105" s="59"/>
      <c r="D105" s="63"/>
      <c r="E105" s="64"/>
      <c r="F105" s="64"/>
      <c r="G105" s="64"/>
      <c r="H105" s="64"/>
      <c r="I105" s="64"/>
      <c r="J105" s="64"/>
      <c r="K105" s="62"/>
    </row>
    <row r="106" spans="1:11" ht="14.45" hidden="1" customHeight="1" thickBot="1">
      <c r="A106" s="58"/>
      <c r="B106" s="59"/>
      <c r="C106" s="59"/>
      <c r="D106" s="63"/>
      <c r="E106" s="149"/>
      <c r="F106" s="147"/>
      <c r="G106" s="149"/>
      <c r="H106" s="149"/>
      <c r="I106" s="149"/>
      <c r="J106" s="149"/>
      <c r="K106" s="62"/>
    </row>
    <row r="107" spans="1:11" ht="14.45" hidden="1" customHeight="1" thickBot="1">
      <c r="A107" s="58"/>
      <c r="B107" s="59"/>
      <c r="C107" s="59"/>
      <c r="D107" s="63"/>
      <c r="E107" s="149"/>
      <c r="F107" s="147"/>
      <c r="G107" s="149"/>
      <c r="H107" s="149"/>
      <c r="I107" s="149"/>
      <c r="J107" s="149"/>
      <c r="K107" s="62"/>
    </row>
    <row r="108" spans="1:11" ht="24" hidden="1" customHeight="1" thickBot="1">
      <c r="A108" s="58"/>
      <c r="B108" s="59"/>
      <c r="C108" s="59"/>
      <c r="D108" s="65"/>
      <c r="E108" s="148"/>
      <c r="F108" s="66"/>
      <c r="G108" s="66"/>
      <c r="H108" s="66"/>
      <c r="I108" s="66"/>
      <c r="J108" s="66"/>
      <c r="K108" s="62"/>
    </row>
    <row r="109" spans="1:11" ht="3.95" hidden="1" customHeight="1"/>
    <row r="110" spans="1:11" ht="14.25" hidden="1" customHeight="1">
      <c r="A110" s="58"/>
      <c r="B110" s="58"/>
      <c r="C110" s="58"/>
      <c r="D110" s="60"/>
      <c r="E110" s="61"/>
      <c r="F110" s="61"/>
      <c r="G110" s="61"/>
      <c r="H110" s="61"/>
      <c r="I110" s="61"/>
      <c r="J110" s="61"/>
      <c r="K110" s="62"/>
    </row>
    <row r="111" spans="1:11" ht="14.25" hidden="1" customHeight="1">
      <c r="A111" s="58"/>
      <c r="B111" s="58"/>
      <c r="C111" s="58"/>
      <c r="D111" s="63"/>
      <c r="E111" s="64"/>
      <c r="F111" s="64"/>
      <c r="G111" s="64"/>
      <c r="H111" s="64"/>
      <c r="I111" s="64"/>
      <c r="J111" s="64"/>
      <c r="K111" s="62"/>
    </row>
    <row r="112" spans="1:11" ht="14.25" hidden="1" customHeight="1">
      <c r="A112" s="58"/>
      <c r="B112" s="58"/>
      <c r="C112" s="58"/>
      <c r="D112" s="63"/>
      <c r="E112" s="67"/>
      <c r="F112" s="67"/>
      <c r="G112" s="67"/>
      <c r="H112" s="67"/>
      <c r="I112" s="67"/>
      <c r="J112" s="67"/>
      <c r="K112" s="62"/>
    </row>
    <row r="113" spans="1:11" ht="14.25" hidden="1" customHeight="1">
      <c r="A113" s="58"/>
      <c r="B113" s="58"/>
      <c r="C113" s="58"/>
      <c r="D113" s="63"/>
      <c r="E113" s="68"/>
      <c r="F113" s="68"/>
      <c r="G113" s="68"/>
      <c r="H113" s="68"/>
      <c r="I113" s="68"/>
      <c r="J113" s="68"/>
      <c r="K113" s="62"/>
    </row>
    <row r="114" spans="1:11" ht="14.25" hidden="1" customHeight="1">
      <c r="A114" s="58"/>
      <c r="B114" s="58"/>
      <c r="C114" s="58"/>
      <c r="D114" s="65"/>
      <c r="E114" s="69"/>
      <c r="F114" s="69"/>
      <c r="G114" s="69"/>
      <c r="H114" s="69"/>
      <c r="I114" s="69"/>
      <c r="J114" s="69"/>
      <c r="K114" s="62"/>
    </row>
    <row r="115" spans="1:11" ht="3.95" hidden="1" customHeight="1"/>
    <row r="116" spans="1:11" ht="14.25" hidden="1" customHeight="1">
      <c r="A116" s="58"/>
      <c r="B116" s="58"/>
      <c r="C116" s="58"/>
      <c r="D116" s="60"/>
      <c r="E116" s="61"/>
      <c r="F116" s="61"/>
      <c r="G116" s="61"/>
      <c r="H116" s="61"/>
      <c r="I116" s="61"/>
      <c r="J116" s="61"/>
      <c r="K116" s="62"/>
    </row>
    <row r="117" spans="1:11" ht="14.25" hidden="1" customHeight="1">
      <c r="A117" s="58"/>
      <c r="B117" s="58"/>
      <c r="C117" s="58"/>
      <c r="D117" s="63"/>
      <c r="E117" s="64"/>
      <c r="F117" s="64"/>
      <c r="G117" s="64"/>
      <c r="H117" s="64"/>
      <c r="I117" s="64"/>
      <c r="J117" s="64"/>
      <c r="K117" s="62"/>
    </row>
    <row r="118" spans="1:11" ht="14.25" hidden="1" customHeight="1">
      <c r="A118" s="58"/>
      <c r="B118" s="58"/>
      <c r="C118" s="58"/>
      <c r="D118" s="63"/>
      <c r="E118" s="67"/>
      <c r="F118" s="67"/>
      <c r="G118" s="67"/>
      <c r="H118" s="67"/>
      <c r="I118" s="67"/>
      <c r="J118" s="67"/>
      <c r="K118" s="62"/>
    </row>
    <row r="119" spans="1:11" ht="14.25" hidden="1" customHeight="1">
      <c r="A119" s="58"/>
      <c r="B119" s="58"/>
      <c r="C119" s="58"/>
      <c r="D119" s="63"/>
      <c r="E119" s="68"/>
      <c r="F119" s="68"/>
      <c r="G119" s="68"/>
      <c r="H119" s="68"/>
      <c r="I119" s="68"/>
      <c r="J119" s="68"/>
      <c r="K119" s="62"/>
    </row>
    <row r="120" spans="1:11" ht="14.25" hidden="1" customHeight="1">
      <c r="A120" s="58"/>
      <c r="B120" s="58"/>
      <c r="C120" s="58"/>
      <c r="D120" s="65"/>
      <c r="E120" s="69"/>
      <c r="F120" s="69"/>
      <c r="G120" s="69"/>
      <c r="H120" s="69"/>
      <c r="I120" s="69"/>
      <c r="J120" s="69"/>
      <c r="K120" s="62"/>
    </row>
    <row r="121" spans="1:11" ht="3.95" hidden="1" customHeight="1"/>
    <row r="122" spans="1:11" ht="14.25" hidden="1" customHeight="1">
      <c r="A122" s="58"/>
      <c r="B122" s="58"/>
      <c r="C122" s="58"/>
      <c r="D122" s="60"/>
      <c r="E122" s="61"/>
      <c r="F122" s="61"/>
      <c r="G122" s="61"/>
      <c r="H122" s="61"/>
      <c r="I122" s="61"/>
      <c r="J122" s="61"/>
      <c r="K122" s="62"/>
    </row>
    <row r="123" spans="1:11" ht="14.25" hidden="1" customHeight="1">
      <c r="A123" s="58"/>
      <c r="B123" s="58"/>
      <c r="C123" s="58"/>
      <c r="D123" s="63"/>
      <c r="E123" s="64"/>
      <c r="F123" s="64"/>
      <c r="G123" s="64"/>
      <c r="H123" s="64"/>
      <c r="I123" s="64"/>
      <c r="J123" s="64"/>
      <c r="K123" s="62"/>
    </row>
    <row r="124" spans="1:11" ht="14.25" hidden="1" customHeight="1">
      <c r="A124" s="58"/>
      <c r="B124" s="58"/>
      <c r="C124" s="58"/>
      <c r="D124" s="63"/>
      <c r="E124" s="67"/>
      <c r="F124" s="67"/>
      <c r="G124" s="67"/>
      <c r="H124" s="67"/>
      <c r="I124" s="67"/>
      <c r="J124" s="67"/>
      <c r="K124" s="62"/>
    </row>
    <row r="125" spans="1:11" ht="14.25" hidden="1" customHeight="1">
      <c r="A125" s="58"/>
      <c r="B125" s="58"/>
      <c r="C125" s="58"/>
      <c r="D125" s="63"/>
      <c r="E125" s="68"/>
      <c r="F125" s="68"/>
      <c r="G125" s="68"/>
      <c r="H125" s="68"/>
      <c r="I125" s="68"/>
      <c r="J125" s="68"/>
      <c r="K125" s="62"/>
    </row>
    <row r="126" spans="1:11" ht="14.25" hidden="1" customHeight="1">
      <c r="A126" s="58"/>
      <c r="B126" s="58"/>
      <c r="C126" s="58"/>
      <c r="D126" s="65"/>
      <c r="E126" s="69"/>
      <c r="F126" s="69"/>
      <c r="G126" s="69"/>
      <c r="H126" s="69"/>
      <c r="I126" s="69"/>
      <c r="J126" s="69"/>
      <c r="K126" s="62"/>
    </row>
    <row r="127" spans="1:11" ht="3.95" hidden="1" customHeight="1"/>
    <row r="128" spans="1:11" ht="14.25" hidden="1" customHeight="1">
      <c r="A128" s="58"/>
      <c r="B128" s="58"/>
      <c r="C128" s="58"/>
      <c r="D128" s="60"/>
      <c r="E128" s="61"/>
      <c r="F128" s="61"/>
      <c r="G128" s="61"/>
      <c r="H128" s="61"/>
      <c r="I128" s="61"/>
      <c r="J128" s="61"/>
      <c r="K128" s="62"/>
    </row>
    <row r="129" spans="1:11" ht="14.25" hidden="1" customHeight="1">
      <c r="A129" s="58"/>
      <c r="B129" s="58"/>
      <c r="C129" s="58"/>
      <c r="D129" s="63"/>
      <c r="E129" s="64"/>
      <c r="F129" s="64"/>
      <c r="G129" s="64"/>
      <c r="H129" s="64"/>
      <c r="I129" s="64"/>
      <c r="J129" s="64"/>
      <c r="K129" s="62"/>
    </row>
    <row r="130" spans="1:11" ht="14.25" hidden="1" customHeight="1">
      <c r="A130" s="58"/>
      <c r="B130" s="58"/>
      <c r="C130" s="58"/>
      <c r="D130" s="63"/>
      <c r="E130" s="67"/>
      <c r="F130" s="67"/>
      <c r="G130" s="67"/>
      <c r="H130" s="67"/>
      <c r="I130" s="67"/>
      <c r="J130" s="67"/>
      <c r="K130" s="62"/>
    </row>
    <row r="131" spans="1:11" ht="14.25" hidden="1" customHeight="1">
      <c r="A131" s="58"/>
      <c r="B131" s="58"/>
      <c r="C131" s="58"/>
      <c r="D131" s="63"/>
      <c r="E131" s="68"/>
      <c r="F131" s="68"/>
      <c r="G131" s="68"/>
      <c r="H131" s="68"/>
      <c r="I131" s="68"/>
      <c r="J131" s="68"/>
      <c r="K131" s="62"/>
    </row>
    <row r="132" spans="1:11" ht="14.25" hidden="1" customHeight="1">
      <c r="A132" s="58"/>
      <c r="B132" s="58"/>
      <c r="C132" s="58"/>
      <c r="D132" s="65"/>
      <c r="E132" s="69"/>
      <c r="F132" s="69"/>
      <c r="G132" s="69"/>
      <c r="H132" s="69"/>
      <c r="I132" s="69"/>
      <c r="J132" s="69"/>
      <c r="K132" s="62"/>
    </row>
    <row r="133" spans="1:11" ht="3.95" hidden="1" customHeight="1"/>
    <row r="134" spans="1:11" ht="14.25" hidden="1" customHeight="1">
      <c r="A134" s="58"/>
      <c r="B134" s="58"/>
      <c r="C134" s="58"/>
      <c r="D134" s="60"/>
      <c r="E134" s="61"/>
      <c r="F134" s="61"/>
      <c r="G134" s="61"/>
      <c r="H134" s="61"/>
      <c r="I134" s="61"/>
      <c r="J134" s="61"/>
      <c r="K134" s="62"/>
    </row>
    <row r="135" spans="1:11" ht="14.25" hidden="1" customHeight="1">
      <c r="A135" s="58"/>
      <c r="B135" s="58"/>
      <c r="C135" s="58"/>
      <c r="D135" s="63"/>
      <c r="E135" s="64"/>
      <c r="F135" s="64"/>
      <c r="G135" s="64"/>
      <c r="H135" s="64"/>
      <c r="I135" s="64"/>
      <c r="J135" s="64"/>
      <c r="K135" s="62"/>
    </row>
    <row r="136" spans="1:11" ht="14.25" hidden="1" customHeight="1">
      <c r="A136" s="58"/>
      <c r="B136" s="58"/>
      <c r="C136" s="58"/>
      <c r="D136" s="63"/>
      <c r="E136" s="67"/>
      <c r="F136" s="67"/>
      <c r="G136" s="67"/>
      <c r="H136" s="67"/>
      <c r="I136" s="67"/>
      <c r="J136" s="67"/>
      <c r="K136" s="62"/>
    </row>
    <row r="137" spans="1:11" ht="14.25" hidden="1" customHeight="1">
      <c r="A137" s="58"/>
      <c r="B137" s="58"/>
      <c r="C137" s="58"/>
      <c r="D137" s="63"/>
      <c r="E137" s="68"/>
      <c r="F137" s="68"/>
      <c r="G137" s="68"/>
      <c r="H137" s="68"/>
      <c r="I137" s="68"/>
      <c r="J137" s="68"/>
      <c r="K137" s="62"/>
    </row>
    <row r="138" spans="1:11" ht="14.25" hidden="1" customHeight="1">
      <c r="A138" s="58"/>
      <c r="B138" s="58"/>
      <c r="C138" s="58"/>
      <c r="D138" s="65"/>
      <c r="E138" s="69"/>
      <c r="F138" s="69"/>
      <c r="G138" s="69"/>
      <c r="H138" s="69"/>
      <c r="I138" s="69"/>
      <c r="J138" s="69"/>
      <c r="K138" s="62"/>
    </row>
    <row r="139" spans="1:11" ht="3.95" hidden="1" customHeight="1"/>
    <row r="140" spans="1:11" ht="14.25" hidden="1" customHeight="1">
      <c r="A140" s="58"/>
      <c r="B140" s="58"/>
      <c r="C140" s="58"/>
      <c r="D140" s="60"/>
      <c r="E140" s="61"/>
      <c r="F140" s="61"/>
      <c r="G140" s="61"/>
      <c r="H140" s="61"/>
      <c r="I140" s="61"/>
      <c r="J140" s="61"/>
      <c r="K140" s="62"/>
    </row>
    <row r="141" spans="1:11" ht="14.25" hidden="1" customHeight="1">
      <c r="A141" s="58"/>
      <c r="B141" s="58"/>
      <c r="C141" s="58"/>
      <c r="D141" s="63"/>
      <c r="E141" s="64"/>
      <c r="F141" s="64"/>
      <c r="G141" s="64"/>
      <c r="H141" s="64"/>
      <c r="I141" s="64"/>
      <c r="J141" s="64"/>
      <c r="K141" s="62"/>
    </row>
    <row r="142" spans="1:11" ht="14.25" hidden="1" customHeight="1">
      <c r="A142" s="58"/>
      <c r="B142" s="58"/>
      <c r="C142" s="58"/>
      <c r="D142" s="63"/>
      <c r="E142" s="67"/>
      <c r="F142" s="67"/>
      <c r="G142" s="67"/>
      <c r="H142" s="67"/>
      <c r="I142" s="67"/>
      <c r="J142" s="67"/>
      <c r="K142" s="62"/>
    </row>
    <row r="143" spans="1:11" ht="14.25" hidden="1" customHeight="1">
      <c r="A143" s="58"/>
      <c r="B143" s="58"/>
      <c r="C143" s="58"/>
      <c r="D143" s="63"/>
      <c r="E143" s="68"/>
      <c r="F143" s="68"/>
      <c r="G143" s="68"/>
      <c r="H143" s="68"/>
      <c r="I143" s="68"/>
      <c r="J143" s="68"/>
      <c r="K143" s="62"/>
    </row>
    <row r="144" spans="1:11" ht="14.25" hidden="1" customHeight="1">
      <c r="A144" s="58"/>
      <c r="B144" s="58"/>
      <c r="C144" s="58"/>
      <c r="D144" s="65"/>
      <c r="E144" s="69"/>
      <c r="F144" s="69"/>
      <c r="G144" s="69"/>
      <c r="H144" s="69"/>
      <c r="I144" s="69"/>
      <c r="J144" s="69"/>
      <c r="K144" s="62"/>
    </row>
    <row r="145" spans="1:11" ht="3.95" hidden="1" customHeight="1"/>
    <row r="146" spans="1:11" ht="14.25" hidden="1" customHeight="1">
      <c r="A146" s="58"/>
      <c r="B146" s="58"/>
      <c r="C146" s="58"/>
      <c r="D146" s="60"/>
      <c r="E146" s="61"/>
      <c r="F146" s="61"/>
      <c r="G146" s="61"/>
      <c r="H146" s="61"/>
      <c r="I146" s="61"/>
      <c r="J146" s="61"/>
      <c r="K146" s="62"/>
    </row>
    <row r="147" spans="1:11" ht="14.25" hidden="1" customHeight="1">
      <c r="A147" s="58"/>
      <c r="B147" s="58"/>
      <c r="C147" s="58"/>
      <c r="D147" s="63"/>
      <c r="E147" s="64"/>
      <c r="F147" s="64"/>
      <c r="G147" s="64"/>
      <c r="H147" s="64"/>
      <c r="I147" s="64"/>
      <c r="J147" s="64"/>
      <c r="K147" s="62"/>
    </row>
    <row r="148" spans="1:11" ht="14.25" hidden="1" customHeight="1">
      <c r="A148" s="58"/>
      <c r="B148" s="58"/>
      <c r="C148" s="58"/>
      <c r="D148" s="63"/>
      <c r="E148" s="67"/>
      <c r="F148" s="67"/>
      <c r="G148" s="67"/>
      <c r="H148" s="67"/>
      <c r="I148" s="67"/>
      <c r="J148" s="67"/>
      <c r="K148" s="62"/>
    </row>
    <row r="149" spans="1:11" ht="14.25" hidden="1" customHeight="1">
      <c r="A149" s="58"/>
      <c r="B149" s="58"/>
      <c r="C149" s="58"/>
      <c r="D149" s="63"/>
      <c r="E149" s="68"/>
      <c r="F149" s="68"/>
      <c r="G149" s="68"/>
      <c r="H149" s="68"/>
      <c r="I149" s="68"/>
      <c r="J149" s="68"/>
      <c r="K149" s="62"/>
    </row>
    <row r="150" spans="1:11" ht="14.25" hidden="1" customHeight="1">
      <c r="A150" s="58"/>
      <c r="B150" s="58"/>
      <c r="C150" s="58"/>
      <c r="D150" s="65"/>
      <c r="E150" s="69"/>
      <c r="F150" s="69"/>
      <c r="G150" s="69"/>
      <c r="H150" s="69"/>
      <c r="I150" s="69"/>
      <c r="J150" s="69"/>
      <c r="K150" s="62"/>
    </row>
    <row r="151" spans="1:11" ht="3.95" hidden="1" customHeight="1"/>
    <row r="152" spans="1:11" ht="14.25" hidden="1" customHeight="1">
      <c r="A152" s="58"/>
      <c r="B152" s="58"/>
      <c r="C152" s="58"/>
      <c r="D152" s="60"/>
      <c r="E152" s="61"/>
      <c r="F152" s="61"/>
      <c r="G152" s="61"/>
      <c r="H152" s="61"/>
      <c r="I152" s="61"/>
      <c r="J152" s="61"/>
      <c r="K152" s="62"/>
    </row>
    <row r="153" spans="1:11" ht="14.25" hidden="1" customHeight="1">
      <c r="A153" s="58"/>
      <c r="B153" s="58"/>
      <c r="C153" s="58"/>
      <c r="D153" s="63"/>
      <c r="E153" s="64"/>
      <c r="F153" s="64"/>
      <c r="G153" s="64"/>
      <c r="H153" s="64"/>
      <c r="I153" s="64"/>
      <c r="J153" s="64"/>
      <c r="K153" s="62"/>
    </row>
    <row r="154" spans="1:11" ht="14.25" hidden="1" customHeight="1">
      <c r="A154" s="58"/>
      <c r="B154" s="58"/>
      <c r="C154" s="58"/>
      <c r="D154" s="63"/>
      <c r="E154" s="67"/>
      <c r="F154" s="67"/>
      <c r="G154" s="67"/>
      <c r="H154" s="67"/>
      <c r="I154" s="67"/>
      <c r="J154" s="67"/>
      <c r="K154" s="62"/>
    </row>
    <row r="155" spans="1:11" ht="14.25" hidden="1" customHeight="1">
      <c r="A155" s="58"/>
      <c r="B155" s="58"/>
      <c r="C155" s="58"/>
      <c r="D155" s="63"/>
      <c r="E155" s="68"/>
      <c r="F155" s="68"/>
      <c r="G155" s="68"/>
      <c r="H155" s="68"/>
      <c r="I155" s="68"/>
      <c r="J155" s="68"/>
      <c r="K155" s="62"/>
    </row>
    <row r="156" spans="1:11" ht="14.25" hidden="1" customHeight="1">
      <c r="A156" s="58"/>
      <c r="B156" s="58"/>
      <c r="C156" s="58"/>
      <c r="D156" s="65"/>
      <c r="E156" s="69"/>
      <c r="F156" s="69"/>
      <c r="G156" s="69"/>
      <c r="H156" s="69"/>
      <c r="I156" s="69"/>
      <c r="J156" s="69"/>
      <c r="K156" s="62"/>
    </row>
    <row r="157" spans="1:11" ht="3.95" hidden="1" customHeight="1"/>
    <row r="158" spans="1:11" ht="14.25" hidden="1" customHeight="1">
      <c r="A158" s="58"/>
      <c r="B158" s="58"/>
      <c r="C158" s="58"/>
      <c r="D158" s="60"/>
      <c r="E158" s="61"/>
      <c r="F158" s="61"/>
      <c r="G158" s="61"/>
      <c r="H158" s="61"/>
      <c r="I158" s="61"/>
      <c r="J158" s="61"/>
      <c r="K158" s="62"/>
    </row>
    <row r="159" spans="1:11" ht="14.25" hidden="1" customHeight="1">
      <c r="A159" s="58"/>
      <c r="B159" s="58"/>
      <c r="C159" s="58"/>
      <c r="D159" s="63"/>
      <c r="E159" s="64"/>
      <c r="F159" s="64"/>
      <c r="G159" s="64"/>
      <c r="H159" s="64"/>
      <c r="I159" s="64"/>
      <c r="J159" s="64"/>
      <c r="K159" s="62"/>
    </row>
    <row r="160" spans="1:11" ht="14.25" hidden="1" customHeight="1">
      <c r="A160" s="58"/>
      <c r="B160" s="58"/>
      <c r="C160" s="58"/>
      <c r="D160" s="63"/>
      <c r="E160" s="67"/>
      <c r="F160" s="67"/>
      <c r="G160" s="67"/>
      <c r="H160" s="67"/>
      <c r="I160" s="67"/>
      <c r="J160" s="67"/>
      <c r="K160" s="62"/>
    </row>
    <row r="161" spans="1:11" ht="14.25" hidden="1" customHeight="1">
      <c r="A161" s="58"/>
      <c r="B161" s="58"/>
      <c r="C161" s="58"/>
      <c r="D161" s="63"/>
      <c r="E161" s="68"/>
      <c r="F161" s="68"/>
      <c r="G161" s="68"/>
      <c r="H161" s="68"/>
      <c r="I161" s="68"/>
      <c r="J161" s="68"/>
      <c r="K161" s="62"/>
    </row>
    <row r="162" spans="1:11" ht="14.25" hidden="1" customHeight="1">
      <c r="A162" s="58"/>
      <c r="B162" s="58"/>
      <c r="C162" s="58"/>
      <c r="D162" s="65"/>
      <c r="E162" s="69"/>
      <c r="F162" s="69"/>
      <c r="G162" s="69"/>
      <c r="H162" s="69"/>
      <c r="I162" s="69"/>
      <c r="J162" s="69"/>
      <c r="K162" s="62"/>
    </row>
    <row r="163" spans="1:11" ht="3.95" hidden="1" customHeight="1"/>
    <row r="164" spans="1:11" ht="14.25" hidden="1" customHeight="1">
      <c r="A164" s="58"/>
      <c r="B164" s="58"/>
      <c r="C164" s="58"/>
      <c r="D164" s="60"/>
      <c r="E164" s="61"/>
      <c r="F164" s="61"/>
      <c r="G164" s="61"/>
      <c r="H164" s="61"/>
      <c r="I164" s="61"/>
      <c r="J164" s="61"/>
      <c r="K164" s="62"/>
    </row>
    <row r="165" spans="1:11" ht="14.25" hidden="1" customHeight="1">
      <c r="A165" s="58"/>
      <c r="B165" s="58"/>
      <c r="C165" s="58"/>
      <c r="D165" s="63"/>
      <c r="E165" s="64"/>
      <c r="F165" s="64"/>
      <c r="G165" s="64"/>
      <c r="H165" s="64"/>
      <c r="I165" s="64"/>
      <c r="J165" s="64"/>
      <c r="K165" s="62"/>
    </row>
    <row r="166" spans="1:11" ht="14.25" hidden="1" customHeight="1">
      <c r="A166" s="58"/>
      <c r="B166" s="58"/>
      <c r="C166" s="58"/>
      <c r="D166" s="63"/>
      <c r="E166" s="67"/>
      <c r="F166" s="67"/>
      <c r="G166" s="67"/>
      <c r="H166" s="67"/>
      <c r="I166" s="67"/>
      <c r="J166" s="67"/>
      <c r="K166" s="62"/>
    </row>
    <row r="167" spans="1:11" ht="14.25" hidden="1" customHeight="1">
      <c r="A167" s="58"/>
      <c r="B167" s="58"/>
      <c r="C167" s="58"/>
      <c r="D167" s="63"/>
      <c r="E167" s="68"/>
      <c r="F167" s="68"/>
      <c r="G167" s="68"/>
      <c r="H167" s="68"/>
      <c r="I167" s="68"/>
      <c r="J167" s="68"/>
      <c r="K167" s="62"/>
    </row>
    <row r="168" spans="1:11" ht="14.25" hidden="1" customHeight="1">
      <c r="A168" s="58"/>
      <c r="B168" s="58"/>
      <c r="C168" s="58"/>
      <c r="D168" s="65"/>
      <c r="E168" s="69"/>
      <c r="F168" s="69"/>
      <c r="G168" s="69"/>
      <c r="H168" s="69"/>
      <c r="I168" s="69"/>
      <c r="J168" s="69"/>
      <c r="K168" s="62"/>
    </row>
    <row r="169" spans="1:11" ht="3.95" hidden="1" customHeight="1"/>
    <row r="170" spans="1:11" ht="14.25" hidden="1" customHeight="1">
      <c r="A170" s="58"/>
      <c r="B170" s="58"/>
      <c r="C170" s="58"/>
      <c r="D170" s="60"/>
      <c r="E170" s="61"/>
      <c r="F170" s="61"/>
      <c r="G170" s="61"/>
      <c r="H170" s="61"/>
      <c r="I170" s="61"/>
      <c r="J170" s="61"/>
      <c r="K170" s="62"/>
    </row>
    <row r="171" spans="1:11" ht="14.25" hidden="1" customHeight="1">
      <c r="A171" s="58"/>
      <c r="B171" s="58"/>
      <c r="C171" s="58"/>
      <c r="D171" s="63"/>
      <c r="E171" s="64"/>
      <c r="F171" s="64"/>
      <c r="G171" s="64"/>
      <c r="H171" s="64"/>
      <c r="I171" s="64"/>
      <c r="J171" s="64"/>
      <c r="K171" s="62"/>
    </row>
    <row r="172" spans="1:11" ht="14.25" hidden="1" customHeight="1">
      <c r="A172" s="58"/>
      <c r="B172" s="58"/>
      <c r="C172" s="58"/>
      <c r="D172" s="63"/>
      <c r="E172" s="67"/>
      <c r="F172" s="67"/>
      <c r="G172" s="67"/>
      <c r="H172" s="67"/>
      <c r="I172" s="67"/>
      <c r="J172" s="67"/>
      <c r="K172" s="62"/>
    </row>
    <row r="173" spans="1:11" ht="14.25" hidden="1" customHeight="1">
      <c r="A173" s="58"/>
      <c r="B173" s="58"/>
      <c r="C173" s="58"/>
      <c r="D173" s="63"/>
      <c r="E173" s="68"/>
      <c r="F173" s="68"/>
      <c r="G173" s="68"/>
      <c r="H173" s="68"/>
      <c r="I173" s="68"/>
      <c r="J173" s="68"/>
      <c r="K173" s="62"/>
    </row>
    <row r="174" spans="1:11" ht="14.25" hidden="1" customHeight="1">
      <c r="A174" s="58"/>
      <c r="B174" s="58"/>
      <c r="C174" s="58"/>
      <c r="D174" s="65"/>
      <c r="E174" s="69"/>
      <c r="F174" s="69"/>
      <c r="G174" s="69"/>
      <c r="H174" s="69"/>
      <c r="I174" s="69"/>
      <c r="J174" s="69"/>
      <c r="K174" s="62"/>
    </row>
    <row r="175" spans="1:11" ht="3.95" hidden="1" customHeight="1"/>
    <row r="176" spans="1:11" ht="14.25" hidden="1" customHeight="1">
      <c r="A176" s="58"/>
      <c r="B176" s="58"/>
      <c r="C176" s="58"/>
      <c r="D176" s="60"/>
      <c r="E176" s="61"/>
      <c r="F176" s="61"/>
      <c r="G176" s="61"/>
      <c r="H176" s="61"/>
      <c r="I176" s="61"/>
      <c r="J176" s="61"/>
      <c r="K176" s="62"/>
    </row>
    <row r="177" spans="1:11" ht="14.25" hidden="1" customHeight="1">
      <c r="A177" s="58"/>
      <c r="B177" s="58"/>
      <c r="C177" s="58"/>
      <c r="D177" s="63"/>
      <c r="E177" s="64"/>
      <c r="F177" s="64"/>
      <c r="G177" s="64"/>
      <c r="H177" s="64"/>
      <c r="I177" s="64"/>
      <c r="J177" s="64"/>
      <c r="K177" s="62"/>
    </row>
    <row r="178" spans="1:11" ht="14.25" hidden="1" customHeight="1">
      <c r="A178" s="58"/>
      <c r="B178" s="58"/>
      <c r="C178" s="58"/>
      <c r="D178" s="63"/>
      <c r="E178" s="67"/>
      <c r="F178" s="67"/>
      <c r="G178" s="67"/>
      <c r="H178" s="67"/>
      <c r="I178" s="67"/>
      <c r="J178" s="67"/>
      <c r="K178" s="62"/>
    </row>
    <row r="179" spans="1:11" ht="14.25" hidden="1" customHeight="1">
      <c r="A179" s="58"/>
      <c r="B179" s="58"/>
      <c r="C179" s="58"/>
      <c r="D179" s="63"/>
      <c r="E179" s="68"/>
      <c r="F179" s="68"/>
      <c r="G179" s="68"/>
      <c r="H179" s="68"/>
      <c r="I179" s="68"/>
      <c r="J179" s="68"/>
      <c r="K179" s="62"/>
    </row>
    <row r="180" spans="1:11" ht="14.25" hidden="1" customHeight="1">
      <c r="A180" s="58"/>
      <c r="B180" s="58"/>
      <c r="C180" s="58"/>
      <c r="D180" s="65"/>
      <c r="E180" s="69"/>
      <c r="F180" s="69"/>
      <c r="G180" s="69"/>
      <c r="H180" s="69"/>
      <c r="I180" s="69"/>
      <c r="J180" s="69"/>
      <c r="K180" s="62"/>
    </row>
    <row r="181" spans="1:11" ht="3.95" hidden="1" customHeight="1"/>
  </sheetData>
  <sheetProtection algorithmName="SHA-512" hashValue="H7mATJHsPXmruGCo+vTNTTipk+f8LO5P98cqqw48LyH8A8G/IQ96TUkVclkIxFuV78fRtf1p4C4PefdBDkNmFg==" saltValue="EI3m3jrFNszFclDcMrXvRQ==" spinCount="100000" sheet="1" objects="1" scenarios="1" autoFilter="0"/>
  <mergeCells count="212">
    <mergeCell ref="A170:A174"/>
    <mergeCell ref="B170:B174"/>
    <mergeCell ref="C170:C174"/>
    <mergeCell ref="D170:D174"/>
    <mergeCell ref="E170:J170"/>
    <mergeCell ref="K170:K174"/>
    <mergeCell ref="E174:J174"/>
    <mergeCell ref="A176:A180"/>
    <mergeCell ref="B176:B180"/>
    <mergeCell ref="C176:C180"/>
    <mergeCell ref="D176:D180"/>
    <mergeCell ref="E176:J176"/>
    <mergeCell ref="K176:K180"/>
    <mergeCell ref="E180:J180"/>
    <mergeCell ref="A158:A162"/>
    <mergeCell ref="B158:B162"/>
    <mergeCell ref="C158:C162"/>
    <mergeCell ref="D158:D162"/>
    <mergeCell ref="E158:J158"/>
    <mergeCell ref="K158:K162"/>
    <mergeCell ref="E162:J162"/>
    <mergeCell ref="A164:A168"/>
    <mergeCell ref="B164:B168"/>
    <mergeCell ref="C164:C168"/>
    <mergeCell ref="D164:D168"/>
    <mergeCell ref="E164:J164"/>
    <mergeCell ref="K164:K168"/>
    <mergeCell ref="E168:J168"/>
    <mergeCell ref="A146:A150"/>
    <mergeCell ref="B146:B150"/>
    <mergeCell ref="C146:C150"/>
    <mergeCell ref="D146:D150"/>
    <mergeCell ref="E146:J146"/>
    <mergeCell ref="K146:K150"/>
    <mergeCell ref="E150:J150"/>
    <mergeCell ref="A152:A156"/>
    <mergeCell ref="B152:B156"/>
    <mergeCell ref="C152:C156"/>
    <mergeCell ref="D152:D156"/>
    <mergeCell ref="E152:J152"/>
    <mergeCell ref="K152:K156"/>
    <mergeCell ref="E156:J156"/>
    <mergeCell ref="A134:A138"/>
    <mergeCell ref="B134:B138"/>
    <mergeCell ref="C134:C138"/>
    <mergeCell ref="D134:D138"/>
    <mergeCell ref="E134:J134"/>
    <mergeCell ref="K134:K138"/>
    <mergeCell ref="E138:J138"/>
    <mergeCell ref="A140:A144"/>
    <mergeCell ref="B140:B144"/>
    <mergeCell ref="C140:C144"/>
    <mergeCell ref="D140:D144"/>
    <mergeCell ref="E140:J140"/>
    <mergeCell ref="K140:K144"/>
    <mergeCell ref="E144:J144"/>
    <mergeCell ref="A122:A126"/>
    <mergeCell ref="B122:B126"/>
    <mergeCell ref="C122:C126"/>
    <mergeCell ref="D122:D126"/>
    <mergeCell ref="E122:J122"/>
    <mergeCell ref="K122:K126"/>
    <mergeCell ref="E126:J126"/>
    <mergeCell ref="A128:A132"/>
    <mergeCell ref="B128:B132"/>
    <mergeCell ref="C128:C132"/>
    <mergeCell ref="D128:D132"/>
    <mergeCell ref="E128:J128"/>
    <mergeCell ref="K128:K132"/>
    <mergeCell ref="E132:J132"/>
    <mergeCell ref="A116:A120"/>
    <mergeCell ref="B116:B120"/>
    <mergeCell ref="C116:C120"/>
    <mergeCell ref="E116:J116"/>
    <mergeCell ref="K116:K120"/>
    <mergeCell ref="E120:J120"/>
    <mergeCell ref="A110:A114"/>
    <mergeCell ref="B110:B114"/>
    <mergeCell ref="C110:C114"/>
    <mergeCell ref="E110:J110"/>
    <mergeCell ref="K110:K114"/>
    <mergeCell ref="E114:J114"/>
    <mergeCell ref="D110:D114"/>
    <mergeCell ref="D116:D120"/>
    <mergeCell ref="A104:A108"/>
    <mergeCell ref="B104:B108"/>
    <mergeCell ref="C104:C108"/>
    <mergeCell ref="E104:J104"/>
    <mergeCell ref="K104:K108"/>
    <mergeCell ref="E108:J108"/>
    <mergeCell ref="A98:A102"/>
    <mergeCell ref="B98:B102"/>
    <mergeCell ref="C98:C102"/>
    <mergeCell ref="E98:J98"/>
    <mergeCell ref="K98:K102"/>
    <mergeCell ref="E102:J102"/>
    <mergeCell ref="D98:D102"/>
    <mergeCell ref="D104:D108"/>
    <mergeCell ref="A92:A96"/>
    <mergeCell ref="B92:B96"/>
    <mergeCell ref="C92:C96"/>
    <mergeCell ref="E92:J92"/>
    <mergeCell ref="K92:K96"/>
    <mergeCell ref="E96:J96"/>
    <mergeCell ref="A86:A90"/>
    <mergeCell ref="B86:B90"/>
    <mergeCell ref="C86:C90"/>
    <mergeCell ref="E86:J86"/>
    <mergeCell ref="K86:K90"/>
    <mergeCell ref="E90:J90"/>
    <mergeCell ref="D86:D90"/>
    <mergeCell ref="D92:D96"/>
    <mergeCell ref="A80:A84"/>
    <mergeCell ref="B80:B84"/>
    <mergeCell ref="C80:C84"/>
    <mergeCell ref="E80:J80"/>
    <mergeCell ref="K80:K84"/>
    <mergeCell ref="E84:J84"/>
    <mergeCell ref="A74:A78"/>
    <mergeCell ref="B74:B78"/>
    <mergeCell ref="C74:C78"/>
    <mergeCell ref="E74:J74"/>
    <mergeCell ref="K74:K78"/>
    <mergeCell ref="E78:J78"/>
    <mergeCell ref="D74:D78"/>
    <mergeCell ref="D80:D84"/>
    <mergeCell ref="A68:A72"/>
    <mergeCell ref="B68:B72"/>
    <mergeCell ref="C68:C72"/>
    <mergeCell ref="E68:J68"/>
    <mergeCell ref="K68:K72"/>
    <mergeCell ref="E72:J72"/>
    <mergeCell ref="A62:A66"/>
    <mergeCell ref="B62:B66"/>
    <mergeCell ref="C62:C66"/>
    <mergeCell ref="E62:J62"/>
    <mergeCell ref="K62:K66"/>
    <mergeCell ref="E66:J66"/>
    <mergeCell ref="D62:D66"/>
    <mergeCell ref="D68:D72"/>
    <mergeCell ref="A56:A60"/>
    <mergeCell ref="B56:B60"/>
    <mergeCell ref="C56:C60"/>
    <mergeCell ref="E56:J56"/>
    <mergeCell ref="K56:K60"/>
    <mergeCell ref="E60:J60"/>
    <mergeCell ref="A50:A54"/>
    <mergeCell ref="B50:B54"/>
    <mergeCell ref="C50:C54"/>
    <mergeCell ref="E50:J50"/>
    <mergeCell ref="K50:K54"/>
    <mergeCell ref="E54:J54"/>
    <mergeCell ref="D50:D54"/>
    <mergeCell ref="D56:D60"/>
    <mergeCell ref="A44:A48"/>
    <mergeCell ref="B44:B48"/>
    <mergeCell ref="C44:C48"/>
    <mergeCell ref="E44:J44"/>
    <mergeCell ref="K44:K48"/>
    <mergeCell ref="E48:J48"/>
    <mergeCell ref="A38:A42"/>
    <mergeCell ref="B38:B42"/>
    <mergeCell ref="C38:C42"/>
    <mergeCell ref="E38:J38"/>
    <mergeCell ref="K38:K42"/>
    <mergeCell ref="E42:J42"/>
    <mergeCell ref="D38:D42"/>
    <mergeCell ref="D44:D48"/>
    <mergeCell ref="A32:A36"/>
    <mergeCell ref="B32:B36"/>
    <mergeCell ref="C32:C36"/>
    <mergeCell ref="E32:J32"/>
    <mergeCell ref="K32:K36"/>
    <mergeCell ref="E36:J36"/>
    <mergeCell ref="A26:A30"/>
    <mergeCell ref="B26:B30"/>
    <mergeCell ref="C26:C30"/>
    <mergeCell ref="E26:J26"/>
    <mergeCell ref="K26:K30"/>
    <mergeCell ref="E30:J30"/>
    <mergeCell ref="D26:D30"/>
    <mergeCell ref="D32:D36"/>
    <mergeCell ref="A20:A24"/>
    <mergeCell ref="B20:B24"/>
    <mergeCell ref="C20:C24"/>
    <mergeCell ref="E20:J20"/>
    <mergeCell ref="K20:K24"/>
    <mergeCell ref="E24:J24"/>
    <mergeCell ref="A14:A18"/>
    <mergeCell ref="B14:B18"/>
    <mergeCell ref="C14:C18"/>
    <mergeCell ref="E14:J14"/>
    <mergeCell ref="K14:K18"/>
    <mergeCell ref="E18:J18"/>
    <mergeCell ref="D14:D18"/>
    <mergeCell ref="D20:D24"/>
    <mergeCell ref="A8:A12"/>
    <mergeCell ref="B8:B12"/>
    <mergeCell ref="C8:C12"/>
    <mergeCell ref="E8:J8"/>
    <mergeCell ref="K8:K12"/>
    <mergeCell ref="E12:J12"/>
    <mergeCell ref="A1:B1"/>
    <mergeCell ref="E1:K1"/>
    <mergeCell ref="A2:A6"/>
    <mergeCell ref="B2:B6"/>
    <mergeCell ref="C2:C6"/>
    <mergeCell ref="E2:J2"/>
    <mergeCell ref="K2:K6"/>
    <mergeCell ref="E6:J6"/>
    <mergeCell ref="D2:D6"/>
    <mergeCell ref="D8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Q1093"/>
  <sheetViews>
    <sheetView showGridLines="0" workbookViewId="0">
      <selection activeCell="A429" sqref="A429:A435"/>
    </sheetView>
  </sheetViews>
  <sheetFormatPr defaultRowHeight="14.25"/>
  <cols>
    <col min="1" max="1" width="7" style="11" customWidth="1"/>
    <col min="2" max="2" width="22" style="11" customWidth="1"/>
    <col min="3" max="3" width="18" style="11" customWidth="1"/>
    <col min="4" max="4" width="13" style="11" customWidth="1"/>
    <col min="5" max="5" width="18" style="11" customWidth="1"/>
    <col min="6" max="27" width="9" style="11" customWidth="1"/>
    <col min="28" max="16384" width="9" style="11"/>
  </cols>
  <sheetData>
    <row r="1" spans="1:17" ht="27.95" customHeight="1">
      <c r="A1" s="70" t="s">
        <v>42</v>
      </c>
      <c r="B1" s="71" t="s">
        <v>43</v>
      </c>
      <c r="C1" s="71" t="s">
        <v>43</v>
      </c>
      <c r="D1" s="72" t="s">
        <v>44</v>
      </c>
      <c r="E1" s="73" t="s">
        <v>45</v>
      </c>
      <c r="F1" s="71" t="s">
        <v>46</v>
      </c>
      <c r="G1" s="71" t="s">
        <v>46</v>
      </c>
      <c r="H1" s="74" t="s">
        <v>46</v>
      </c>
      <c r="I1" s="71" t="s">
        <v>46</v>
      </c>
      <c r="J1" s="71" t="s">
        <v>46</v>
      </c>
      <c r="K1" s="74" t="s">
        <v>46</v>
      </c>
      <c r="L1" s="71" t="s">
        <v>46</v>
      </c>
      <c r="M1" s="71" t="s">
        <v>46</v>
      </c>
      <c r="N1" s="74" t="s">
        <v>46</v>
      </c>
      <c r="O1" s="71" t="s">
        <v>46</v>
      </c>
      <c r="P1" s="71" t="s">
        <v>46</v>
      </c>
      <c r="Q1" s="74" t="s">
        <v>46</v>
      </c>
    </row>
    <row r="2" spans="1:17" ht="14.45" customHeight="1">
      <c r="A2" s="75">
        <v>1</v>
      </c>
      <c r="B2" s="76"/>
      <c r="C2" s="77" t="s">
        <v>47</v>
      </c>
      <c r="D2" s="77" t="s">
        <v>48</v>
      </c>
      <c r="E2" s="78" t="s">
        <v>49</v>
      </c>
      <c r="F2" s="79" t="s">
        <v>50</v>
      </c>
      <c r="G2" s="79" t="s">
        <v>50</v>
      </c>
      <c r="H2" s="80" t="s">
        <v>50</v>
      </c>
      <c r="I2" s="79" t="s">
        <v>51</v>
      </c>
      <c r="J2" s="79" t="s">
        <v>51</v>
      </c>
      <c r="K2" s="80" t="s">
        <v>51</v>
      </c>
      <c r="L2" s="79"/>
      <c r="M2" s="79"/>
      <c r="N2" s="80"/>
      <c r="O2" s="79"/>
      <c r="P2" s="79"/>
      <c r="Q2" s="80"/>
    </row>
    <row r="3" spans="1:17" ht="60" customHeight="1">
      <c r="A3" s="81">
        <v>1</v>
      </c>
      <c r="B3" s="82"/>
      <c r="C3" s="83" t="s">
        <v>47</v>
      </c>
      <c r="D3" s="83" t="s">
        <v>48</v>
      </c>
      <c r="E3" s="84" t="s">
        <v>49</v>
      </c>
      <c r="F3" s="85"/>
      <c r="G3" s="86" t="s">
        <v>54</v>
      </c>
      <c r="H3" s="87" t="s">
        <v>54</v>
      </c>
      <c r="I3" s="85"/>
      <c r="J3" s="86" t="s">
        <v>55</v>
      </c>
      <c r="K3" s="87" t="s">
        <v>55</v>
      </c>
      <c r="L3" s="86"/>
      <c r="M3" s="86"/>
      <c r="N3" s="87"/>
      <c r="O3" s="86"/>
      <c r="P3" s="86"/>
      <c r="Q3" s="87"/>
    </row>
    <row r="4" spans="1:17" ht="45" customHeight="1">
      <c r="A4" s="81">
        <v>1</v>
      </c>
      <c r="B4" s="82"/>
      <c r="C4" s="83" t="s">
        <v>47</v>
      </c>
      <c r="D4" s="83" t="s">
        <v>48</v>
      </c>
      <c r="E4" s="84" t="s">
        <v>49</v>
      </c>
      <c r="F4" s="85"/>
      <c r="G4" s="85"/>
      <c r="H4" s="88"/>
      <c r="I4" s="85"/>
      <c r="J4" s="85"/>
      <c r="K4" s="88"/>
      <c r="L4" s="86"/>
      <c r="M4" s="86"/>
      <c r="N4" s="87"/>
      <c r="O4" s="86"/>
      <c r="P4" s="86"/>
      <c r="Q4" s="87"/>
    </row>
    <row r="5" spans="1:17" ht="14.45" customHeight="1">
      <c r="A5" s="81">
        <v>1</v>
      </c>
      <c r="B5" s="82"/>
      <c r="C5" s="83" t="s">
        <v>47</v>
      </c>
      <c r="D5" s="83" t="s">
        <v>48</v>
      </c>
      <c r="E5" s="84" t="s">
        <v>49</v>
      </c>
      <c r="F5" s="89">
        <v>1220</v>
      </c>
      <c r="G5" s="89">
        <v>4939</v>
      </c>
      <c r="H5" s="90">
        <v>1292</v>
      </c>
      <c r="I5" s="89">
        <v>1220</v>
      </c>
      <c r="J5" s="89">
        <v>4939</v>
      </c>
      <c r="K5" s="90">
        <v>1292</v>
      </c>
      <c r="L5" s="86"/>
      <c r="M5" s="86"/>
      <c r="N5" s="87"/>
      <c r="O5" s="86"/>
      <c r="P5" s="86"/>
      <c r="Q5" s="87"/>
    </row>
    <row r="6" spans="1:17" ht="45" customHeight="1">
      <c r="A6" s="81">
        <v>1</v>
      </c>
      <c r="B6" s="82"/>
      <c r="C6" s="83" t="s">
        <v>47</v>
      </c>
      <c r="D6" s="83" t="s">
        <v>48</v>
      </c>
      <c r="E6" s="84" t="s">
        <v>49</v>
      </c>
      <c r="F6" s="85"/>
      <c r="G6" s="85"/>
      <c r="H6" s="88"/>
      <c r="I6" s="85"/>
      <c r="J6" s="85"/>
      <c r="K6" s="88"/>
      <c r="L6" s="86"/>
      <c r="M6" s="86"/>
      <c r="N6" s="87"/>
      <c r="O6" s="86"/>
      <c r="P6" s="86"/>
      <c r="Q6" s="87"/>
    </row>
    <row r="7" spans="1:17" ht="14.45" customHeight="1">
      <c r="A7" s="81">
        <v>1</v>
      </c>
      <c r="B7" s="82"/>
      <c r="C7" s="83" t="s">
        <v>47</v>
      </c>
      <c r="D7" s="83" t="s">
        <v>48</v>
      </c>
      <c r="E7" s="84" t="s">
        <v>49</v>
      </c>
      <c r="F7" s="89">
        <v>1215</v>
      </c>
      <c r="G7" s="89">
        <v>1011</v>
      </c>
      <c r="H7" s="90">
        <v>55</v>
      </c>
      <c r="I7" s="89">
        <v>1215</v>
      </c>
      <c r="J7" s="89">
        <v>1011</v>
      </c>
      <c r="K7" s="90">
        <v>55</v>
      </c>
      <c r="L7" s="86"/>
      <c r="M7" s="86"/>
      <c r="N7" s="87"/>
      <c r="O7" s="86"/>
      <c r="P7" s="86"/>
      <c r="Q7" s="87"/>
    </row>
    <row r="8" spans="1:17" ht="24" customHeight="1">
      <c r="A8" s="91">
        <v>1</v>
      </c>
      <c r="B8" s="92"/>
      <c r="C8" s="93" t="s">
        <v>47</v>
      </c>
      <c r="D8" s="93" t="s">
        <v>48</v>
      </c>
      <c r="E8" s="94" t="s">
        <v>49</v>
      </c>
      <c r="F8" s="95" t="s">
        <v>56</v>
      </c>
      <c r="G8" s="96">
        <v>2280000</v>
      </c>
      <c r="H8" s="97">
        <v>2280000</v>
      </c>
      <c r="I8" s="95" t="s">
        <v>56</v>
      </c>
      <c r="J8" s="96">
        <v>2280000</v>
      </c>
      <c r="K8" s="97">
        <v>2280000</v>
      </c>
      <c r="L8" s="98"/>
      <c r="M8" s="98"/>
      <c r="N8" s="99"/>
      <c r="O8" s="98"/>
      <c r="P8" s="98"/>
      <c r="Q8" s="99"/>
    </row>
    <row r="9" spans="1:17" ht="14.45" customHeight="1">
      <c r="A9" s="75">
        <v>2</v>
      </c>
      <c r="B9" s="76"/>
      <c r="C9" s="77" t="s">
        <v>57</v>
      </c>
      <c r="D9" s="77" t="s">
        <v>48</v>
      </c>
      <c r="E9" s="78" t="s">
        <v>49</v>
      </c>
      <c r="F9" s="79" t="s">
        <v>50</v>
      </c>
      <c r="G9" s="79" t="s">
        <v>50</v>
      </c>
      <c r="H9" s="80" t="s">
        <v>50</v>
      </c>
      <c r="I9" s="79" t="s">
        <v>51</v>
      </c>
      <c r="J9" s="79" t="s">
        <v>51</v>
      </c>
      <c r="K9" s="80" t="s">
        <v>51</v>
      </c>
      <c r="L9" s="79"/>
      <c r="M9" s="79"/>
      <c r="N9" s="80"/>
      <c r="O9" s="79"/>
      <c r="P9" s="79"/>
      <c r="Q9" s="80"/>
    </row>
    <row r="10" spans="1:17" ht="60" customHeight="1">
      <c r="A10" s="81">
        <v>2</v>
      </c>
      <c r="B10" s="82"/>
      <c r="C10" s="83" t="s">
        <v>57</v>
      </c>
      <c r="D10" s="83" t="s">
        <v>48</v>
      </c>
      <c r="E10" s="84" t="s">
        <v>49</v>
      </c>
      <c r="F10" s="85"/>
      <c r="G10" s="86" t="s">
        <v>58</v>
      </c>
      <c r="H10" s="87" t="s">
        <v>58</v>
      </c>
      <c r="I10" s="85"/>
      <c r="J10" s="86" t="s">
        <v>59</v>
      </c>
      <c r="K10" s="87" t="s">
        <v>59</v>
      </c>
      <c r="L10" s="86"/>
      <c r="M10" s="86"/>
      <c r="N10" s="87"/>
      <c r="O10" s="86"/>
      <c r="P10" s="86"/>
      <c r="Q10" s="87"/>
    </row>
    <row r="11" spans="1:17" ht="45" customHeight="1">
      <c r="A11" s="81">
        <v>2</v>
      </c>
      <c r="B11" s="82"/>
      <c r="C11" s="83" t="s">
        <v>57</v>
      </c>
      <c r="D11" s="83" t="s">
        <v>48</v>
      </c>
      <c r="E11" s="84" t="s">
        <v>49</v>
      </c>
      <c r="F11" s="85"/>
      <c r="G11" s="85"/>
      <c r="H11" s="88"/>
      <c r="I11" s="85"/>
      <c r="J11" s="85"/>
      <c r="K11" s="88"/>
      <c r="L11" s="86"/>
      <c r="M11" s="86"/>
      <c r="N11" s="87"/>
      <c r="O11" s="86"/>
      <c r="P11" s="86"/>
      <c r="Q11" s="87"/>
    </row>
    <row r="12" spans="1:17" ht="14.45" customHeight="1">
      <c r="A12" s="81">
        <v>2</v>
      </c>
      <c r="B12" s="82"/>
      <c r="C12" s="83" t="s">
        <v>57</v>
      </c>
      <c r="D12" s="83" t="s">
        <v>48</v>
      </c>
      <c r="E12" s="84" t="s">
        <v>49</v>
      </c>
      <c r="F12" s="89">
        <v>1220</v>
      </c>
      <c r="G12" s="89">
        <v>4939</v>
      </c>
      <c r="H12" s="90">
        <v>1292</v>
      </c>
      <c r="I12" s="89">
        <v>1220</v>
      </c>
      <c r="J12" s="89">
        <v>4939</v>
      </c>
      <c r="K12" s="90">
        <v>1292</v>
      </c>
      <c r="L12" s="86"/>
      <c r="M12" s="86"/>
      <c r="N12" s="87"/>
      <c r="O12" s="86"/>
      <c r="P12" s="86"/>
      <c r="Q12" s="87"/>
    </row>
    <row r="13" spans="1:17" ht="45" customHeight="1">
      <c r="A13" s="81">
        <v>2</v>
      </c>
      <c r="B13" s="82"/>
      <c r="C13" s="83" t="s">
        <v>57</v>
      </c>
      <c r="D13" s="83" t="s">
        <v>48</v>
      </c>
      <c r="E13" s="84" t="s">
        <v>49</v>
      </c>
      <c r="F13" s="85"/>
      <c r="G13" s="85"/>
      <c r="H13" s="88"/>
      <c r="I13" s="85"/>
      <c r="J13" s="85"/>
      <c r="K13" s="88"/>
      <c r="L13" s="86"/>
      <c r="M13" s="86"/>
      <c r="N13" s="87"/>
      <c r="O13" s="86"/>
      <c r="P13" s="86"/>
      <c r="Q13" s="87"/>
    </row>
    <row r="14" spans="1:17" ht="14.45" customHeight="1">
      <c r="A14" s="81">
        <v>2</v>
      </c>
      <c r="B14" s="82"/>
      <c r="C14" s="83" t="s">
        <v>57</v>
      </c>
      <c r="D14" s="83" t="s">
        <v>48</v>
      </c>
      <c r="E14" s="84" t="s">
        <v>49</v>
      </c>
      <c r="F14" s="89">
        <v>1215</v>
      </c>
      <c r="G14" s="89">
        <v>1011</v>
      </c>
      <c r="H14" s="90">
        <v>55</v>
      </c>
      <c r="I14" s="89">
        <v>1215</v>
      </c>
      <c r="J14" s="89">
        <v>1011</v>
      </c>
      <c r="K14" s="90">
        <v>55</v>
      </c>
      <c r="L14" s="86"/>
      <c r="M14" s="86"/>
      <c r="N14" s="87"/>
      <c r="O14" s="86"/>
      <c r="P14" s="86"/>
      <c r="Q14" s="87"/>
    </row>
    <row r="15" spans="1:17" ht="24" customHeight="1">
      <c r="A15" s="91">
        <v>2</v>
      </c>
      <c r="B15" s="92"/>
      <c r="C15" s="93" t="s">
        <v>57</v>
      </c>
      <c r="D15" s="93" t="s">
        <v>48</v>
      </c>
      <c r="E15" s="94" t="s">
        <v>49</v>
      </c>
      <c r="F15" s="95" t="s">
        <v>56</v>
      </c>
      <c r="G15" s="96">
        <v>2280000</v>
      </c>
      <c r="H15" s="97">
        <v>2280000</v>
      </c>
      <c r="I15" s="95" t="s">
        <v>56</v>
      </c>
      <c r="J15" s="96">
        <v>2280000</v>
      </c>
      <c r="K15" s="97">
        <v>2280000</v>
      </c>
      <c r="L15" s="98"/>
      <c r="M15" s="98"/>
      <c r="N15" s="99"/>
      <c r="O15" s="98"/>
      <c r="P15" s="98"/>
      <c r="Q15" s="99"/>
    </row>
    <row r="16" spans="1:17" ht="14.45" customHeight="1">
      <c r="A16" s="75">
        <v>3</v>
      </c>
      <c r="B16" s="76"/>
      <c r="C16" s="77" t="s">
        <v>60</v>
      </c>
      <c r="D16" s="77" t="s">
        <v>48</v>
      </c>
      <c r="E16" s="78" t="s">
        <v>49</v>
      </c>
      <c r="F16" s="79" t="s">
        <v>50</v>
      </c>
      <c r="G16" s="79" t="s">
        <v>50</v>
      </c>
      <c r="H16" s="80" t="s">
        <v>50</v>
      </c>
      <c r="I16" s="79"/>
      <c r="J16" s="79"/>
      <c r="K16" s="80"/>
      <c r="L16" s="79"/>
      <c r="M16" s="79"/>
      <c r="N16" s="80"/>
      <c r="O16" s="79"/>
      <c r="P16" s="79"/>
      <c r="Q16" s="80"/>
    </row>
    <row r="17" spans="1:17" ht="60" customHeight="1">
      <c r="A17" s="81">
        <v>3</v>
      </c>
      <c r="B17" s="82"/>
      <c r="C17" s="83" t="s">
        <v>60</v>
      </c>
      <c r="D17" s="83" t="s">
        <v>48</v>
      </c>
      <c r="E17" s="84" t="s">
        <v>49</v>
      </c>
      <c r="F17" s="85"/>
      <c r="G17" s="86" t="s">
        <v>61</v>
      </c>
      <c r="H17" s="87" t="s">
        <v>61</v>
      </c>
      <c r="I17" s="86"/>
      <c r="J17" s="86"/>
      <c r="K17" s="87"/>
      <c r="L17" s="86"/>
      <c r="M17" s="86"/>
      <c r="N17" s="87"/>
      <c r="O17" s="86"/>
      <c r="P17" s="86"/>
      <c r="Q17" s="87"/>
    </row>
    <row r="18" spans="1:17" ht="45" customHeight="1">
      <c r="A18" s="81">
        <v>3</v>
      </c>
      <c r="B18" s="82"/>
      <c r="C18" s="83" t="s">
        <v>60</v>
      </c>
      <c r="D18" s="83" t="s">
        <v>48</v>
      </c>
      <c r="E18" s="84" t="s">
        <v>49</v>
      </c>
      <c r="F18" s="85"/>
      <c r="G18" s="85"/>
      <c r="H18" s="88"/>
      <c r="I18" s="86"/>
      <c r="J18" s="86"/>
      <c r="K18" s="87"/>
      <c r="L18" s="86"/>
      <c r="M18" s="86"/>
      <c r="N18" s="87"/>
      <c r="O18" s="86"/>
      <c r="P18" s="86"/>
      <c r="Q18" s="87"/>
    </row>
    <row r="19" spans="1:17" ht="14.45" customHeight="1">
      <c r="A19" s="81">
        <v>3</v>
      </c>
      <c r="B19" s="82"/>
      <c r="C19" s="83" t="s">
        <v>60</v>
      </c>
      <c r="D19" s="83" t="s">
        <v>48</v>
      </c>
      <c r="E19" s="84" t="s">
        <v>49</v>
      </c>
      <c r="F19" s="89">
        <v>1220</v>
      </c>
      <c r="G19" s="89">
        <v>4939</v>
      </c>
      <c r="H19" s="90">
        <v>1292</v>
      </c>
      <c r="I19" s="86"/>
      <c r="J19" s="86"/>
      <c r="K19" s="87"/>
      <c r="L19" s="86"/>
      <c r="M19" s="86"/>
      <c r="N19" s="87"/>
      <c r="O19" s="86"/>
      <c r="P19" s="86"/>
      <c r="Q19" s="87"/>
    </row>
    <row r="20" spans="1:17" ht="45" customHeight="1">
      <c r="A20" s="81">
        <v>3</v>
      </c>
      <c r="B20" s="82"/>
      <c r="C20" s="83" t="s">
        <v>60</v>
      </c>
      <c r="D20" s="83" t="s">
        <v>48</v>
      </c>
      <c r="E20" s="84" t="s">
        <v>49</v>
      </c>
      <c r="F20" s="85"/>
      <c r="G20" s="85"/>
      <c r="H20" s="88"/>
      <c r="I20" s="86"/>
      <c r="J20" s="86"/>
      <c r="K20" s="87"/>
      <c r="L20" s="86"/>
      <c r="M20" s="86"/>
      <c r="N20" s="87"/>
      <c r="O20" s="86"/>
      <c r="P20" s="86"/>
      <c r="Q20" s="87"/>
    </row>
    <row r="21" spans="1:17" ht="14.45" customHeight="1">
      <c r="A21" s="81">
        <v>3</v>
      </c>
      <c r="B21" s="82"/>
      <c r="C21" s="83" t="s">
        <v>60</v>
      </c>
      <c r="D21" s="83" t="s">
        <v>48</v>
      </c>
      <c r="E21" s="84" t="s">
        <v>49</v>
      </c>
      <c r="F21" s="89">
        <v>1215</v>
      </c>
      <c r="G21" s="89">
        <v>1011</v>
      </c>
      <c r="H21" s="90">
        <v>55</v>
      </c>
      <c r="I21" s="86"/>
      <c r="J21" s="86"/>
      <c r="K21" s="87"/>
      <c r="L21" s="86"/>
      <c r="M21" s="86"/>
      <c r="N21" s="87"/>
      <c r="O21" s="86"/>
      <c r="P21" s="86"/>
      <c r="Q21" s="87"/>
    </row>
    <row r="22" spans="1:17" ht="24" customHeight="1">
      <c r="A22" s="91">
        <v>3</v>
      </c>
      <c r="B22" s="92"/>
      <c r="C22" s="93" t="s">
        <v>60</v>
      </c>
      <c r="D22" s="93" t="s">
        <v>48</v>
      </c>
      <c r="E22" s="94" t="s">
        <v>49</v>
      </c>
      <c r="F22" s="95" t="s">
        <v>56</v>
      </c>
      <c r="G22" s="96">
        <v>2280000</v>
      </c>
      <c r="H22" s="97">
        <v>2280000</v>
      </c>
      <c r="I22" s="98"/>
      <c r="J22" s="98"/>
      <c r="K22" s="99"/>
      <c r="L22" s="98"/>
      <c r="M22" s="98"/>
      <c r="N22" s="99"/>
      <c r="O22" s="98"/>
      <c r="P22" s="98"/>
      <c r="Q22" s="99"/>
    </row>
    <row r="23" spans="1:17" ht="14.45" customHeight="1">
      <c r="A23" s="75">
        <v>4</v>
      </c>
      <c r="B23" s="76"/>
      <c r="C23" s="77" t="s">
        <v>62</v>
      </c>
      <c r="D23" s="77" t="s">
        <v>48</v>
      </c>
      <c r="E23" s="78" t="s">
        <v>49</v>
      </c>
      <c r="F23" s="79" t="s">
        <v>50</v>
      </c>
      <c r="G23" s="79" t="s">
        <v>50</v>
      </c>
      <c r="H23" s="80" t="s">
        <v>50</v>
      </c>
      <c r="I23" s="79"/>
      <c r="J23" s="79"/>
      <c r="K23" s="80"/>
      <c r="L23" s="79"/>
      <c r="M23" s="79"/>
      <c r="N23" s="80"/>
      <c r="O23" s="79"/>
      <c r="P23" s="79"/>
      <c r="Q23" s="80"/>
    </row>
    <row r="24" spans="1:17" ht="60" customHeight="1">
      <c r="A24" s="81">
        <v>4</v>
      </c>
      <c r="B24" s="82"/>
      <c r="C24" s="83" t="s">
        <v>62</v>
      </c>
      <c r="D24" s="83" t="s">
        <v>48</v>
      </c>
      <c r="E24" s="84" t="s">
        <v>49</v>
      </c>
      <c r="F24" s="85"/>
      <c r="G24" s="86" t="s">
        <v>63</v>
      </c>
      <c r="H24" s="87" t="s">
        <v>63</v>
      </c>
      <c r="I24" s="86"/>
      <c r="J24" s="86"/>
      <c r="K24" s="87"/>
      <c r="L24" s="86"/>
      <c r="M24" s="86"/>
      <c r="N24" s="87"/>
      <c r="O24" s="86"/>
      <c r="P24" s="86"/>
      <c r="Q24" s="87"/>
    </row>
    <row r="25" spans="1:17" ht="45" customHeight="1">
      <c r="A25" s="81">
        <v>4</v>
      </c>
      <c r="B25" s="82"/>
      <c r="C25" s="83" t="s">
        <v>62</v>
      </c>
      <c r="D25" s="83" t="s">
        <v>48</v>
      </c>
      <c r="E25" s="84" t="s">
        <v>49</v>
      </c>
      <c r="F25" s="85"/>
      <c r="G25" s="85"/>
      <c r="H25" s="88"/>
      <c r="I25" s="86"/>
      <c r="J25" s="86"/>
      <c r="K25" s="87"/>
      <c r="L25" s="86"/>
      <c r="M25" s="86"/>
      <c r="N25" s="87"/>
      <c r="O25" s="86"/>
      <c r="P25" s="86"/>
      <c r="Q25" s="87"/>
    </row>
    <row r="26" spans="1:17" ht="14.45" customHeight="1">
      <c r="A26" s="81">
        <v>4</v>
      </c>
      <c r="B26" s="82"/>
      <c r="C26" s="83" t="s">
        <v>62</v>
      </c>
      <c r="D26" s="83" t="s">
        <v>48</v>
      </c>
      <c r="E26" s="84" t="s">
        <v>49</v>
      </c>
      <c r="F26" s="89">
        <v>1220</v>
      </c>
      <c r="G26" s="89">
        <v>4939</v>
      </c>
      <c r="H26" s="90">
        <v>1534</v>
      </c>
      <c r="I26" s="86"/>
      <c r="J26" s="86"/>
      <c r="K26" s="87"/>
      <c r="L26" s="86"/>
      <c r="M26" s="86"/>
      <c r="N26" s="87"/>
      <c r="O26" s="86"/>
      <c r="P26" s="86"/>
      <c r="Q26" s="87"/>
    </row>
    <row r="27" spans="1:17" ht="45" customHeight="1">
      <c r="A27" s="81">
        <v>4</v>
      </c>
      <c r="B27" s="82"/>
      <c r="C27" s="83" t="s">
        <v>62</v>
      </c>
      <c r="D27" s="83" t="s">
        <v>48</v>
      </c>
      <c r="E27" s="84" t="s">
        <v>49</v>
      </c>
      <c r="F27" s="85"/>
      <c r="G27" s="85"/>
      <c r="H27" s="88"/>
      <c r="I27" s="86"/>
      <c r="J27" s="86"/>
      <c r="K27" s="87"/>
      <c r="L27" s="86"/>
      <c r="M27" s="86"/>
      <c r="N27" s="87"/>
      <c r="O27" s="86"/>
      <c r="P27" s="86"/>
      <c r="Q27" s="87"/>
    </row>
    <row r="28" spans="1:17" ht="14.45" customHeight="1">
      <c r="A28" s="81">
        <v>4</v>
      </c>
      <c r="B28" s="82"/>
      <c r="C28" s="83" t="s">
        <v>62</v>
      </c>
      <c r="D28" s="83" t="s">
        <v>48</v>
      </c>
      <c r="E28" s="84" t="s">
        <v>49</v>
      </c>
      <c r="F28" s="89">
        <v>1023</v>
      </c>
      <c r="G28" s="89">
        <v>1011</v>
      </c>
      <c r="H28" s="90">
        <v>55</v>
      </c>
      <c r="I28" s="86"/>
      <c r="J28" s="86"/>
      <c r="K28" s="87"/>
      <c r="L28" s="86"/>
      <c r="M28" s="86"/>
      <c r="N28" s="87"/>
      <c r="O28" s="86"/>
      <c r="P28" s="86"/>
      <c r="Q28" s="87"/>
    </row>
    <row r="29" spans="1:17" ht="24" customHeight="1">
      <c r="A29" s="91">
        <v>4</v>
      </c>
      <c r="B29" s="92"/>
      <c r="C29" s="93" t="s">
        <v>62</v>
      </c>
      <c r="D29" s="93" t="s">
        <v>48</v>
      </c>
      <c r="E29" s="94" t="s">
        <v>49</v>
      </c>
      <c r="F29" s="95" t="s">
        <v>56</v>
      </c>
      <c r="G29" s="96">
        <v>2220000</v>
      </c>
      <c r="H29" s="97">
        <v>2220000</v>
      </c>
      <c r="I29" s="98"/>
      <c r="J29" s="98"/>
      <c r="K29" s="99"/>
      <c r="L29" s="98"/>
      <c r="M29" s="98"/>
      <c r="N29" s="99"/>
      <c r="O29" s="98"/>
      <c r="P29" s="98"/>
      <c r="Q29" s="99"/>
    </row>
    <row r="30" spans="1:17" ht="14.45" customHeight="1">
      <c r="A30" s="75">
        <v>5</v>
      </c>
      <c r="B30" s="76"/>
      <c r="C30" s="77" t="s">
        <v>64</v>
      </c>
      <c r="D30" s="77" t="s">
        <v>48</v>
      </c>
      <c r="E30" s="78" t="s">
        <v>49</v>
      </c>
      <c r="F30" s="79" t="s">
        <v>50</v>
      </c>
      <c r="G30" s="79" t="s">
        <v>50</v>
      </c>
      <c r="H30" s="80" t="s">
        <v>50</v>
      </c>
      <c r="I30" s="79"/>
      <c r="J30" s="79"/>
      <c r="K30" s="80"/>
      <c r="L30" s="79"/>
      <c r="M30" s="79"/>
      <c r="N30" s="80"/>
      <c r="O30" s="79"/>
      <c r="P30" s="79"/>
      <c r="Q30" s="80"/>
    </row>
    <row r="31" spans="1:17" ht="60" customHeight="1">
      <c r="A31" s="81">
        <v>5</v>
      </c>
      <c r="B31" s="82"/>
      <c r="C31" s="83" t="s">
        <v>64</v>
      </c>
      <c r="D31" s="83" t="s">
        <v>48</v>
      </c>
      <c r="E31" s="84" t="s">
        <v>49</v>
      </c>
      <c r="F31" s="85"/>
      <c r="G31" s="86" t="s">
        <v>65</v>
      </c>
      <c r="H31" s="87" t="s">
        <v>65</v>
      </c>
      <c r="I31" s="86"/>
      <c r="J31" s="86"/>
      <c r="K31" s="87"/>
      <c r="L31" s="86"/>
      <c r="M31" s="86"/>
      <c r="N31" s="87"/>
      <c r="O31" s="86"/>
      <c r="P31" s="86"/>
      <c r="Q31" s="87"/>
    </row>
    <row r="32" spans="1:17" ht="45" customHeight="1">
      <c r="A32" s="81">
        <v>5</v>
      </c>
      <c r="B32" s="82"/>
      <c r="C32" s="83" t="s">
        <v>64</v>
      </c>
      <c r="D32" s="83" t="s">
        <v>48</v>
      </c>
      <c r="E32" s="84" t="s">
        <v>49</v>
      </c>
      <c r="F32" s="85"/>
      <c r="G32" s="85"/>
      <c r="H32" s="88"/>
      <c r="I32" s="86"/>
      <c r="J32" s="86"/>
      <c r="K32" s="87"/>
      <c r="L32" s="86"/>
      <c r="M32" s="86"/>
      <c r="N32" s="87"/>
      <c r="O32" s="86"/>
      <c r="P32" s="86"/>
      <c r="Q32" s="87"/>
    </row>
    <row r="33" spans="1:17" ht="14.45" customHeight="1">
      <c r="A33" s="81">
        <v>5</v>
      </c>
      <c r="B33" s="82"/>
      <c r="C33" s="83" t="s">
        <v>64</v>
      </c>
      <c r="D33" s="83" t="s">
        <v>48</v>
      </c>
      <c r="E33" s="84" t="s">
        <v>49</v>
      </c>
      <c r="F33" s="89">
        <v>1220</v>
      </c>
      <c r="G33" s="89">
        <v>4939</v>
      </c>
      <c r="H33" s="90">
        <v>1534</v>
      </c>
      <c r="I33" s="86"/>
      <c r="J33" s="86"/>
      <c r="K33" s="87"/>
      <c r="L33" s="86"/>
      <c r="M33" s="86"/>
      <c r="N33" s="87"/>
      <c r="O33" s="86"/>
      <c r="P33" s="86"/>
      <c r="Q33" s="87"/>
    </row>
    <row r="34" spans="1:17" ht="45" customHeight="1">
      <c r="A34" s="81">
        <v>5</v>
      </c>
      <c r="B34" s="82"/>
      <c r="C34" s="83" t="s">
        <v>64</v>
      </c>
      <c r="D34" s="83" t="s">
        <v>48</v>
      </c>
      <c r="E34" s="84" t="s">
        <v>49</v>
      </c>
      <c r="F34" s="85"/>
      <c r="G34" s="85"/>
      <c r="H34" s="88"/>
      <c r="I34" s="86"/>
      <c r="J34" s="86"/>
      <c r="K34" s="87"/>
      <c r="L34" s="86"/>
      <c r="M34" s="86"/>
      <c r="N34" s="87"/>
      <c r="O34" s="86"/>
      <c r="P34" s="86"/>
      <c r="Q34" s="87"/>
    </row>
    <row r="35" spans="1:17" ht="14.45" customHeight="1">
      <c r="A35" s="81">
        <v>5</v>
      </c>
      <c r="B35" s="82"/>
      <c r="C35" s="83" t="s">
        <v>64</v>
      </c>
      <c r="D35" s="83" t="s">
        <v>48</v>
      </c>
      <c r="E35" s="84" t="s">
        <v>49</v>
      </c>
      <c r="F35" s="89">
        <v>1023</v>
      </c>
      <c r="G35" s="89">
        <v>1011</v>
      </c>
      <c r="H35" s="90">
        <v>55</v>
      </c>
      <c r="I35" s="86"/>
      <c r="J35" s="86"/>
      <c r="K35" s="87"/>
      <c r="L35" s="86"/>
      <c r="M35" s="86"/>
      <c r="N35" s="87"/>
      <c r="O35" s="86"/>
      <c r="P35" s="86"/>
      <c r="Q35" s="87"/>
    </row>
    <row r="36" spans="1:17" ht="24" customHeight="1">
      <c r="A36" s="91">
        <v>5</v>
      </c>
      <c r="B36" s="92"/>
      <c r="C36" s="93" t="s">
        <v>64</v>
      </c>
      <c r="D36" s="93" t="s">
        <v>48</v>
      </c>
      <c r="E36" s="94" t="s">
        <v>49</v>
      </c>
      <c r="F36" s="95" t="s">
        <v>56</v>
      </c>
      <c r="G36" s="96">
        <v>2220000</v>
      </c>
      <c r="H36" s="97">
        <v>2220000</v>
      </c>
      <c r="I36" s="98"/>
      <c r="J36" s="98"/>
      <c r="K36" s="99"/>
      <c r="L36" s="98"/>
      <c r="M36" s="98"/>
      <c r="N36" s="99"/>
      <c r="O36" s="98"/>
      <c r="P36" s="98"/>
      <c r="Q36" s="99"/>
    </row>
    <row r="37" spans="1:17" ht="14.45" customHeight="1">
      <c r="A37" s="75">
        <v>6</v>
      </c>
      <c r="B37" s="76"/>
      <c r="C37" s="77" t="s">
        <v>66</v>
      </c>
      <c r="D37" s="77" t="s">
        <v>48</v>
      </c>
      <c r="E37" s="78" t="s">
        <v>49</v>
      </c>
      <c r="F37" s="79" t="s">
        <v>50</v>
      </c>
      <c r="G37" s="79" t="s">
        <v>50</v>
      </c>
      <c r="H37" s="80" t="s">
        <v>50</v>
      </c>
      <c r="I37" s="79"/>
      <c r="J37" s="79"/>
      <c r="K37" s="80"/>
      <c r="L37" s="79"/>
      <c r="M37" s="79"/>
      <c r="N37" s="80"/>
      <c r="O37" s="79"/>
      <c r="P37" s="79"/>
      <c r="Q37" s="80"/>
    </row>
    <row r="38" spans="1:17" ht="60" customHeight="1">
      <c r="A38" s="81">
        <v>6</v>
      </c>
      <c r="B38" s="82"/>
      <c r="C38" s="83" t="s">
        <v>66</v>
      </c>
      <c r="D38" s="83" t="s">
        <v>48</v>
      </c>
      <c r="E38" s="84" t="s">
        <v>49</v>
      </c>
      <c r="F38" s="85"/>
      <c r="G38" s="86" t="s">
        <v>67</v>
      </c>
      <c r="H38" s="87" t="s">
        <v>67</v>
      </c>
      <c r="I38" s="86"/>
      <c r="J38" s="86"/>
      <c r="K38" s="87"/>
      <c r="L38" s="86"/>
      <c r="M38" s="86"/>
      <c r="N38" s="87"/>
      <c r="O38" s="86"/>
      <c r="P38" s="86"/>
      <c r="Q38" s="87"/>
    </row>
    <row r="39" spans="1:17" ht="45" customHeight="1">
      <c r="A39" s="81">
        <v>6</v>
      </c>
      <c r="B39" s="82"/>
      <c r="C39" s="83" t="s">
        <v>66</v>
      </c>
      <c r="D39" s="83" t="s">
        <v>48</v>
      </c>
      <c r="E39" s="84" t="s">
        <v>49</v>
      </c>
      <c r="F39" s="85"/>
      <c r="G39" s="85"/>
      <c r="H39" s="88"/>
      <c r="I39" s="86"/>
      <c r="J39" s="86"/>
      <c r="K39" s="87"/>
      <c r="L39" s="86"/>
      <c r="M39" s="86"/>
      <c r="N39" s="87"/>
      <c r="O39" s="86"/>
      <c r="P39" s="86"/>
      <c r="Q39" s="87"/>
    </row>
    <row r="40" spans="1:17" ht="14.45" customHeight="1">
      <c r="A40" s="81">
        <v>6</v>
      </c>
      <c r="B40" s="82"/>
      <c r="C40" s="83" t="s">
        <v>66</v>
      </c>
      <c r="D40" s="83" t="s">
        <v>48</v>
      </c>
      <c r="E40" s="84" t="s">
        <v>49</v>
      </c>
      <c r="F40" s="89">
        <v>1220</v>
      </c>
      <c r="G40" s="89">
        <v>4939</v>
      </c>
      <c r="H40" s="90">
        <v>1534</v>
      </c>
      <c r="I40" s="86"/>
      <c r="J40" s="86"/>
      <c r="K40" s="87"/>
      <c r="L40" s="86"/>
      <c r="M40" s="86"/>
      <c r="N40" s="87"/>
      <c r="O40" s="86"/>
      <c r="P40" s="86"/>
      <c r="Q40" s="87"/>
    </row>
    <row r="41" spans="1:17" ht="45" customHeight="1">
      <c r="A41" s="81">
        <v>6</v>
      </c>
      <c r="B41" s="82"/>
      <c r="C41" s="83" t="s">
        <v>66</v>
      </c>
      <c r="D41" s="83" t="s">
        <v>48</v>
      </c>
      <c r="E41" s="84" t="s">
        <v>49</v>
      </c>
      <c r="F41" s="85"/>
      <c r="G41" s="85"/>
      <c r="H41" s="88"/>
      <c r="I41" s="86"/>
      <c r="J41" s="86"/>
      <c r="K41" s="87"/>
      <c r="L41" s="86"/>
      <c r="M41" s="86"/>
      <c r="N41" s="87"/>
      <c r="O41" s="86"/>
      <c r="P41" s="86"/>
      <c r="Q41" s="87"/>
    </row>
    <row r="42" spans="1:17" ht="14.45" customHeight="1">
      <c r="A42" s="81">
        <v>6</v>
      </c>
      <c r="B42" s="82"/>
      <c r="C42" s="83" t="s">
        <v>66</v>
      </c>
      <c r="D42" s="83" t="s">
        <v>48</v>
      </c>
      <c r="E42" s="84" t="s">
        <v>49</v>
      </c>
      <c r="F42" s="89">
        <v>1023</v>
      </c>
      <c r="G42" s="89">
        <v>1011</v>
      </c>
      <c r="H42" s="90">
        <v>55</v>
      </c>
      <c r="I42" s="86"/>
      <c r="J42" s="86"/>
      <c r="K42" s="87"/>
      <c r="L42" s="86"/>
      <c r="M42" s="86"/>
      <c r="N42" s="87"/>
      <c r="O42" s="86"/>
      <c r="P42" s="86"/>
      <c r="Q42" s="87"/>
    </row>
    <row r="43" spans="1:17" ht="24" customHeight="1">
      <c r="A43" s="91">
        <v>6</v>
      </c>
      <c r="B43" s="92"/>
      <c r="C43" s="93" t="s">
        <v>66</v>
      </c>
      <c r="D43" s="93" t="s">
        <v>48</v>
      </c>
      <c r="E43" s="94" t="s">
        <v>49</v>
      </c>
      <c r="F43" s="95" t="s">
        <v>56</v>
      </c>
      <c r="G43" s="96">
        <v>2220000</v>
      </c>
      <c r="H43" s="97">
        <v>2220000</v>
      </c>
      <c r="I43" s="98"/>
      <c r="J43" s="98"/>
      <c r="K43" s="99"/>
      <c r="L43" s="98"/>
      <c r="M43" s="98"/>
      <c r="N43" s="99"/>
      <c r="O43" s="98"/>
      <c r="P43" s="98"/>
      <c r="Q43" s="99"/>
    </row>
    <row r="44" spans="1:17" ht="14.45" customHeight="1">
      <c r="A44" s="75">
        <v>7</v>
      </c>
      <c r="B44" s="76"/>
      <c r="C44" s="77" t="s">
        <v>68</v>
      </c>
      <c r="D44" s="77" t="s">
        <v>48</v>
      </c>
      <c r="E44" s="78" t="s">
        <v>69</v>
      </c>
      <c r="F44" s="79" t="s">
        <v>50</v>
      </c>
      <c r="G44" s="79" t="s">
        <v>50</v>
      </c>
      <c r="H44" s="80" t="s">
        <v>50</v>
      </c>
      <c r="I44" s="79"/>
      <c r="J44" s="79"/>
      <c r="K44" s="80"/>
      <c r="L44" s="79"/>
      <c r="M44" s="79"/>
      <c r="N44" s="80"/>
      <c r="O44" s="79"/>
      <c r="P44" s="79"/>
      <c r="Q44" s="80"/>
    </row>
    <row r="45" spans="1:17" ht="60" customHeight="1">
      <c r="A45" s="81">
        <v>7</v>
      </c>
      <c r="B45" s="82"/>
      <c r="C45" s="83" t="s">
        <v>68</v>
      </c>
      <c r="D45" s="83" t="s">
        <v>48</v>
      </c>
      <c r="E45" s="84" t="s">
        <v>69</v>
      </c>
      <c r="F45" s="85"/>
      <c r="G45" s="86" t="s">
        <v>70</v>
      </c>
      <c r="H45" s="87" t="s">
        <v>70</v>
      </c>
      <c r="I45" s="86"/>
      <c r="J45" s="86"/>
      <c r="K45" s="87"/>
      <c r="L45" s="86"/>
      <c r="M45" s="86"/>
      <c r="N45" s="87"/>
      <c r="O45" s="86"/>
      <c r="P45" s="86"/>
      <c r="Q45" s="87"/>
    </row>
    <row r="46" spans="1:17" ht="45" customHeight="1">
      <c r="A46" s="81">
        <v>7</v>
      </c>
      <c r="B46" s="82"/>
      <c r="C46" s="83" t="s">
        <v>68</v>
      </c>
      <c r="D46" s="83" t="s">
        <v>48</v>
      </c>
      <c r="E46" s="84" t="s">
        <v>69</v>
      </c>
      <c r="F46" s="85"/>
      <c r="G46" s="85"/>
      <c r="H46" s="88"/>
      <c r="I46" s="86"/>
      <c r="J46" s="86"/>
      <c r="K46" s="87"/>
      <c r="L46" s="86"/>
      <c r="M46" s="86"/>
      <c r="N46" s="87"/>
      <c r="O46" s="86"/>
      <c r="P46" s="86"/>
      <c r="Q46" s="87"/>
    </row>
    <row r="47" spans="1:17" ht="14.45" customHeight="1">
      <c r="A47" s="81">
        <v>7</v>
      </c>
      <c r="B47" s="82"/>
      <c r="C47" s="83" t="s">
        <v>68</v>
      </c>
      <c r="D47" s="83" t="s">
        <v>48</v>
      </c>
      <c r="E47" s="84" t="s">
        <v>69</v>
      </c>
      <c r="F47" s="89">
        <v>975</v>
      </c>
      <c r="G47" s="89">
        <v>1476</v>
      </c>
      <c r="H47" s="90">
        <v>999</v>
      </c>
      <c r="I47" s="86"/>
      <c r="J47" s="86"/>
      <c r="K47" s="87"/>
      <c r="L47" s="86"/>
      <c r="M47" s="86"/>
      <c r="N47" s="87"/>
      <c r="O47" s="86"/>
      <c r="P47" s="86"/>
      <c r="Q47" s="87"/>
    </row>
    <row r="48" spans="1:17" ht="45" customHeight="1">
      <c r="A48" s="81">
        <v>7</v>
      </c>
      <c r="B48" s="82"/>
      <c r="C48" s="83" t="s">
        <v>68</v>
      </c>
      <c r="D48" s="83" t="s">
        <v>48</v>
      </c>
      <c r="E48" s="84" t="s">
        <v>69</v>
      </c>
      <c r="F48" s="85"/>
      <c r="G48" s="85"/>
      <c r="H48" s="88"/>
      <c r="I48" s="86"/>
      <c r="J48" s="86"/>
      <c r="K48" s="87"/>
      <c r="L48" s="86"/>
      <c r="M48" s="86"/>
      <c r="N48" s="87"/>
      <c r="O48" s="86"/>
      <c r="P48" s="86"/>
      <c r="Q48" s="87"/>
    </row>
    <row r="49" spans="1:17" ht="14.45" customHeight="1">
      <c r="A49" s="81">
        <v>7</v>
      </c>
      <c r="B49" s="82"/>
      <c r="C49" s="83" t="s">
        <v>68</v>
      </c>
      <c r="D49" s="83" t="s">
        <v>48</v>
      </c>
      <c r="E49" s="84" t="s">
        <v>69</v>
      </c>
      <c r="F49" s="89">
        <v>4763</v>
      </c>
      <c r="G49" s="89">
        <v>1174</v>
      </c>
      <c r="H49" s="90">
        <v>55</v>
      </c>
      <c r="I49" s="86"/>
      <c r="J49" s="86"/>
      <c r="K49" s="87"/>
      <c r="L49" s="86"/>
      <c r="M49" s="86"/>
      <c r="N49" s="87"/>
      <c r="O49" s="86"/>
      <c r="P49" s="86"/>
      <c r="Q49" s="87"/>
    </row>
    <row r="50" spans="1:17" ht="24" customHeight="1">
      <c r="A50" s="91">
        <v>7</v>
      </c>
      <c r="B50" s="92"/>
      <c r="C50" s="93" t="s">
        <v>68</v>
      </c>
      <c r="D50" s="93" t="s">
        <v>48</v>
      </c>
      <c r="E50" s="94" t="s">
        <v>69</v>
      </c>
      <c r="F50" s="95" t="s">
        <v>56</v>
      </c>
      <c r="G50" s="96">
        <v>2140000</v>
      </c>
      <c r="H50" s="97">
        <v>2140000</v>
      </c>
      <c r="I50" s="98"/>
      <c r="J50" s="98"/>
      <c r="K50" s="99"/>
      <c r="L50" s="98"/>
      <c r="M50" s="98"/>
      <c r="N50" s="99"/>
      <c r="O50" s="98"/>
      <c r="P50" s="98"/>
      <c r="Q50" s="99"/>
    </row>
    <row r="51" spans="1:17" ht="14.45" customHeight="1">
      <c r="A51" s="75">
        <v>8</v>
      </c>
      <c r="B51" s="76"/>
      <c r="C51" s="77" t="s">
        <v>71</v>
      </c>
      <c r="D51" s="77" t="s">
        <v>48</v>
      </c>
      <c r="E51" s="78" t="s">
        <v>69</v>
      </c>
      <c r="F51" s="79" t="s">
        <v>50</v>
      </c>
      <c r="G51" s="79" t="s">
        <v>50</v>
      </c>
      <c r="H51" s="80" t="s">
        <v>50</v>
      </c>
      <c r="I51" s="79" t="s">
        <v>51</v>
      </c>
      <c r="J51" s="79" t="s">
        <v>51</v>
      </c>
      <c r="K51" s="80" t="s">
        <v>51</v>
      </c>
      <c r="L51" s="79"/>
      <c r="M51" s="79"/>
      <c r="N51" s="80"/>
      <c r="O51" s="79"/>
      <c r="P51" s="79"/>
      <c r="Q51" s="80"/>
    </row>
    <row r="52" spans="1:17" ht="60" customHeight="1">
      <c r="A52" s="81">
        <v>8</v>
      </c>
      <c r="B52" s="82"/>
      <c r="C52" s="83" t="s">
        <v>71</v>
      </c>
      <c r="D52" s="83" t="s">
        <v>48</v>
      </c>
      <c r="E52" s="84" t="s">
        <v>69</v>
      </c>
      <c r="F52" s="85"/>
      <c r="G52" s="86" t="s">
        <v>72</v>
      </c>
      <c r="H52" s="87" t="s">
        <v>72</v>
      </c>
      <c r="I52" s="85"/>
      <c r="J52" s="86" t="s">
        <v>73</v>
      </c>
      <c r="K52" s="87" t="s">
        <v>73</v>
      </c>
      <c r="L52" s="86"/>
      <c r="M52" s="86"/>
      <c r="N52" s="87"/>
      <c r="O52" s="86"/>
      <c r="P52" s="86"/>
      <c r="Q52" s="87"/>
    </row>
    <row r="53" spans="1:17" ht="45" customHeight="1">
      <c r="A53" s="81">
        <v>8</v>
      </c>
      <c r="B53" s="82"/>
      <c r="C53" s="83" t="s">
        <v>71</v>
      </c>
      <c r="D53" s="83" t="s">
        <v>48</v>
      </c>
      <c r="E53" s="84" t="s">
        <v>69</v>
      </c>
      <c r="F53" s="85"/>
      <c r="G53" s="85"/>
      <c r="H53" s="88"/>
      <c r="I53" s="85"/>
      <c r="J53" s="85"/>
      <c r="K53" s="88"/>
      <c r="L53" s="86"/>
      <c r="M53" s="86"/>
      <c r="N53" s="87"/>
      <c r="O53" s="86"/>
      <c r="P53" s="86"/>
      <c r="Q53" s="87"/>
    </row>
    <row r="54" spans="1:17" ht="14.45" customHeight="1">
      <c r="A54" s="81">
        <v>8</v>
      </c>
      <c r="B54" s="82"/>
      <c r="C54" s="83" t="s">
        <v>71</v>
      </c>
      <c r="D54" s="83" t="s">
        <v>48</v>
      </c>
      <c r="E54" s="84" t="s">
        <v>69</v>
      </c>
      <c r="F54" s="89">
        <v>1016</v>
      </c>
      <c r="G54" s="89">
        <v>1295</v>
      </c>
      <c r="H54" s="90">
        <v>1040</v>
      </c>
      <c r="I54" s="89">
        <v>1016</v>
      </c>
      <c r="J54" s="89">
        <v>1295</v>
      </c>
      <c r="K54" s="90">
        <v>1040</v>
      </c>
      <c r="L54" s="86"/>
      <c r="M54" s="86"/>
      <c r="N54" s="87"/>
      <c r="O54" s="86"/>
      <c r="P54" s="86"/>
      <c r="Q54" s="87"/>
    </row>
    <row r="55" spans="1:17" ht="45" customHeight="1">
      <c r="A55" s="81">
        <v>8</v>
      </c>
      <c r="B55" s="82"/>
      <c r="C55" s="83" t="s">
        <v>71</v>
      </c>
      <c r="D55" s="83" t="s">
        <v>48</v>
      </c>
      <c r="E55" s="84" t="s">
        <v>69</v>
      </c>
      <c r="F55" s="85"/>
      <c r="G55" s="85"/>
      <c r="H55" s="88"/>
      <c r="I55" s="85"/>
      <c r="J55" s="85"/>
      <c r="K55" s="88"/>
      <c r="L55" s="86"/>
      <c r="M55" s="86"/>
      <c r="N55" s="87"/>
      <c r="O55" s="86"/>
      <c r="P55" s="86"/>
      <c r="Q55" s="87"/>
    </row>
    <row r="56" spans="1:17" ht="14.45" customHeight="1">
      <c r="A56" s="81">
        <v>8</v>
      </c>
      <c r="B56" s="82"/>
      <c r="C56" s="83" t="s">
        <v>71</v>
      </c>
      <c r="D56" s="83" t="s">
        <v>48</v>
      </c>
      <c r="E56" s="84" t="s">
        <v>69</v>
      </c>
      <c r="F56" s="89">
        <v>4763</v>
      </c>
      <c r="G56" s="89">
        <v>55</v>
      </c>
      <c r="H56" s="88"/>
      <c r="I56" s="89">
        <v>4763</v>
      </c>
      <c r="J56" s="89">
        <v>55</v>
      </c>
      <c r="K56" s="88"/>
      <c r="L56" s="86"/>
      <c r="M56" s="86"/>
      <c r="N56" s="87"/>
      <c r="O56" s="86"/>
      <c r="P56" s="86"/>
      <c r="Q56" s="87"/>
    </row>
    <row r="57" spans="1:17" ht="24" customHeight="1">
      <c r="A57" s="91">
        <v>8</v>
      </c>
      <c r="B57" s="92"/>
      <c r="C57" s="93" t="s">
        <v>71</v>
      </c>
      <c r="D57" s="93" t="s">
        <v>48</v>
      </c>
      <c r="E57" s="94" t="s">
        <v>69</v>
      </c>
      <c r="F57" s="95" t="s">
        <v>56</v>
      </c>
      <c r="G57" s="96">
        <v>1920000</v>
      </c>
      <c r="H57" s="97">
        <v>1920000</v>
      </c>
      <c r="I57" s="95" t="s">
        <v>56</v>
      </c>
      <c r="J57" s="96">
        <v>1920000</v>
      </c>
      <c r="K57" s="97">
        <v>1920000</v>
      </c>
      <c r="L57" s="98"/>
      <c r="M57" s="98"/>
      <c r="N57" s="99"/>
      <c r="O57" s="98"/>
      <c r="P57" s="98"/>
      <c r="Q57" s="99"/>
    </row>
    <row r="58" spans="1:17" ht="14.45" customHeight="1">
      <c r="A58" s="75">
        <v>9</v>
      </c>
      <c r="B58" s="76"/>
      <c r="C58" s="77" t="s">
        <v>74</v>
      </c>
      <c r="D58" s="77" t="s">
        <v>48</v>
      </c>
      <c r="E58" s="78" t="s">
        <v>69</v>
      </c>
      <c r="F58" s="79" t="s">
        <v>50</v>
      </c>
      <c r="G58" s="79" t="s">
        <v>50</v>
      </c>
      <c r="H58" s="80" t="s">
        <v>50</v>
      </c>
      <c r="I58" s="79"/>
      <c r="J58" s="79"/>
      <c r="K58" s="80"/>
      <c r="L58" s="79"/>
      <c r="M58" s="79"/>
      <c r="N58" s="80"/>
      <c r="O58" s="79"/>
      <c r="P58" s="79"/>
      <c r="Q58" s="80"/>
    </row>
    <row r="59" spans="1:17" ht="60" customHeight="1">
      <c r="A59" s="81">
        <v>9</v>
      </c>
      <c r="B59" s="82"/>
      <c r="C59" s="83" t="s">
        <v>74</v>
      </c>
      <c r="D59" s="83" t="s">
        <v>48</v>
      </c>
      <c r="E59" s="84" t="s">
        <v>69</v>
      </c>
      <c r="F59" s="85"/>
      <c r="G59" s="86" t="s">
        <v>75</v>
      </c>
      <c r="H59" s="87" t="s">
        <v>75</v>
      </c>
      <c r="I59" s="86"/>
      <c r="J59" s="86"/>
      <c r="K59" s="87"/>
      <c r="L59" s="86"/>
      <c r="M59" s="86"/>
      <c r="N59" s="87"/>
      <c r="O59" s="86"/>
      <c r="P59" s="86"/>
      <c r="Q59" s="87"/>
    </row>
    <row r="60" spans="1:17" ht="45" customHeight="1">
      <c r="A60" s="81">
        <v>9</v>
      </c>
      <c r="B60" s="82"/>
      <c r="C60" s="83" t="s">
        <v>74</v>
      </c>
      <c r="D60" s="83" t="s">
        <v>48</v>
      </c>
      <c r="E60" s="84" t="s">
        <v>69</v>
      </c>
      <c r="F60" s="85"/>
      <c r="G60" s="85"/>
      <c r="H60" s="88"/>
      <c r="I60" s="86"/>
      <c r="J60" s="86"/>
      <c r="K60" s="87"/>
      <c r="L60" s="86"/>
      <c r="M60" s="86"/>
      <c r="N60" s="87"/>
      <c r="O60" s="86"/>
      <c r="P60" s="86"/>
      <c r="Q60" s="87"/>
    </row>
    <row r="61" spans="1:17" ht="14.45" customHeight="1">
      <c r="A61" s="81">
        <v>9</v>
      </c>
      <c r="B61" s="82"/>
      <c r="C61" s="83" t="s">
        <v>74</v>
      </c>
      <c r="D61" s="83" t="s">
        <v>48</v>
      </c>
      <c r="E61" s="84" t="s">
        <v>69</v>
      </c>
      <c r="F61" s="89">
        <v>1016</v>
      </c>
      <c r="G61" s="89">
        <v>1295</v>
      </c>
      <c r="H61" s="90">
        <v>1040</v>
      </c>
      <c r="I61" s="86"/>
      <c r="J61" s="86"/>
      <c r="K61" s="87"/>
      <c r="L61" s="86"/>
      <c r="M61" s="86"/>
      <c r="N61" s="87"/>
      <c r="O61" s="86"/>
      <c r="P61" s="86"/>
      <c r="Q61" s="87"/>
    </row>
    <row r="62" spans="1:17" ht="45" customHeight="1">
      <c r="A62" s="81">
        <v>9</v>
      </c>
      <c r="B62" s="82"/>
      <c r="C62" s="83" t="s">
        <v>74</v>
      </c>
      <c r="D62" s="83" t="s">
        <v>48</v>
      </c>
      <c r="E62" s="84" t="s">
        <v>69</v>
      </c>
      <c r="F62" s="85"/>
      <c r="G62" s="85"/>
      <c r="H62" s="88"/>
      <c r="I62" s="86"/>
      <c r="J62" s="86"/>
      <c r="K62" s="87"/>
      <c r="L62" s="86"/>
      <c r="M62" s="86"/>
      <c r="N62" s="87"/>
      <c r="O62" s="86"/>
      <c r="P62" s="86"/>
      <c r="Q62" s="87"/>
    </row>
    <row r="63" spans="1:17" ht="14.45" customHeight="1">
      <c r="A63" s="81">
        <v>9</v>
      </c>
      <c r="B63" s="82"/>
      <c r="C63" s="83" t="s">
        <v>74</v>
      </c>
      <c r="D63" s="83" t="s">
        <v>48</v>
      </c>
      <c r="E63" s="84" t="s">
        <v>69</v>
      </c>
      <c r="F63" s="89">
        <v>4763</v>
      </c>
      <c r="G63" s="89">
        <v>55</v>
      </c>
      <c r="H63" s="88"/>
      <c r="I63" s="86"/>
      <c r="J63" s="86"/>
      <c r="K63" s="87"/>
      <c r="L63" s="86"/>
      <c r="M63" s="86"/>
      <c r="N63" s="87"/>
      <c r="O63" s="86"/>
      <c r="P63" s="86"/>
      <c r="Q63" s="87"/>
    </row>
    <row r="64" spans="1:17" ht="24" customHeight="1">
      <c r="A64" s="91">
        <v>9</v>
      </c>
      <c r="B64" s="92"/>
      <c r="C64" s="93" t="s">
        <v>74</v>
      </c>
      <c r="D64" s="93" t="s">
        <v>48</v>
      </c>
      <c r="E64" s="94" t="s">
        <v>69</v>
      </c>
      <c r="F64" s="95" t="s">
        <v>56</v>
      </c>
      <c r="G64" s="96">
        <v>1920000</v>
      </c>
      <c r="H64" s="97">
        <v>1920000</v>
      </c>
      <c r="I64" s="98"/>
      <c r="J64" s="98"/>
      <c r="K64" s="99"/>
      <c r="L64" s="98"/>
      <c r="M64" s="98"/>
      <c r="N64" s="99"/>
      <c r="O64" s="98"/>
      <c r="P64" s="98"/>
      <c r="Q64" s="99"/>
    </row>
    <row r="65" spans="1:17" ht="14.45" customHeight="1">
      <c r="A65" s="75">
        <v>10</v>
      </c>
      <c r="B65" s="76"/>
      <c r="C65" s="77" t="s">
        <v>76</v>
      </c>
      <c r="D65" s="77" t="s">
        <v>48</v>
      </c>
      <c r="E65" s="78" t="s">
        <v>69</v>
      </c>
      <c r="F65" s="79" t="s">
        <v>50</v>
      </c>
      <c r="G65" s="79" t="s">
        <v>50</v>
      </c>
      <c r="H65" s="80" t="s">
        <v>50</v>
      </c>
      <c r="I65" s="79"/>
      <c r="J65" s="79"/>
      <c r="K65" s="80"/>
      <c r="L65" s="79"/>
      <c r="M65" s="79"/>
      <c r="N65" s="80"/>
      <c r="O65" s="79"/>
      <c r="P65" s="79"/>
      <c r="Q65" s="80"/>
    </row>
    <row r="66" spans="1:17" ht="60" customHeight="1">
      <c r="A66" s="81">
        <v>10</v>
      </c>
      <c r="B66" s="82"/>
      <c r="C66" s="83" t="s">
        <v>76</v>
      </c>
      <c r="D66" s="83" t="s">
        <v>48</v>
      </c>
      <c r="E66" s="84" t="s">
        <v>69</v>
      </c>
      <c r="F66" s="85"/>
      <c r="G66" s="86" t="s">
        <v>77</v>
      </c>
      <c r="H66" s="87" t="s">
        <v>77</v>
      </c>
      <c r="I66" s="86"/>
      <c r="J66" s="86"/>
      <c r="K66" s="87"/>
      <c r="L66" s="86"/>
      <c r="M66" s="86"/>
      <c r="N66" s="87"/>
      <c r="O66" s="86"/>
      <c r="P66" s="86"/>
      <c r="Q66" s="87"/>
    </row>
    <row r="67" spans="1:17" ht="45" customHeight="1">
      <c r="A67" s="81">
        <v>10</v>
      </c>
      <c r="B67" s="82"/>
      <c r="C67" s="83" t="s">
        <v>76</v>
      </c>
      <c r="D67" s="83" t="s">
        <v>48</v>
      </c>
      <c r="E67" s="84" t="s">
        <v>69</v>
      </c>
      <c r="F67" s="85"/>
      <c r="G67" s="85"/>
      <c r="H67" s="88"/>
      <c r="I67" s="86"/>
      <c r="J67" s="86"/>
      <c r="K67" s="87"/>
      <c r="L67" s="86"/>
      <c r="M67" s="86"/>
      <c r="N67" s="87"/>
      <c r="O67" s="86"/>
      <c r="P67" s="86"/>
      <c r="Q67" s="87"/>
    </row>
    <row r="68" spans="1:17" ht="14.45" customHeight="1">
      <c r="A68" s="81">
        <v>10</v>
      </c>
      <c r="B68" s="82"/>
      <c r="C68" s="83" t="s">
        <v>76</v>
      </c>
      <c r="D68" s="83" t="s">
        <v>48</v>
      </c>
      <c r="E68" s="84" t="s">
        <v>69</v>
      </c>
      <c r="F68" s="89">
        <v>1016</v>
      </c>
      <c r="G68" s="89">
        <v>1295</v>
      </c>
      <c r="H68" s="90">
        <v>1040</v>
      </c>
      <c r="I68" s="86"/>
      <c r="J68" s="86"/>
      <c r="K68" s="87"/>
      <c r="L68" s="86"/>
      <c r="M68" s="86"/>
      <c r="N68" s="87"/>
      <c r="O68" s="86"/>
      <c r="P68" s="86"/>
      <c r="Q68" s="87"/>
    </row>
    <row r="69" spans="1:17" ht="45" customHeight="1">
      <c r="A69" s="81">
        <v>10</v>
      </c>
      <c r="B69" s="82"/>
      <c r="C69" s="83" t="s">
        <v>76</v>
      </c>
      <c r="D69" s="83" t="s">
        <v>48</v>
      </c>
      <c r="E69" s="84" t="s">
        <v>69</v>
      </c>
      <c r="F69" s="85"/>
      <c r="G69" s="85"/>
      <c r="H69" s="88"/>
      <c r="I69" s="86"/>
      <c r="J69" s="86"/>
      <c r="K69" s="87"/>
      <c r="L69" s="86"/>
      <c r="M69" s="86"/>
      <c r="N69" s="87"/>
      <c r="O69" s="86"/>
      <c r="P69" s="86"/>
      <c r="Q69" s="87"/>
    </row>
    <row r="70" spans="1:17" ht="14.45" customHeight="1">
      <c r="A70" s="81">
        <v>10</v>
      </c>
      <c r="B70" s="82"/>
      <c r="C70" s="83" t="s">
        <v>76</v>
      </c>
      <c r="D70" s="83" t="s">
        <v>48</v>
      </c>
      <c r="E70" s="84" t="s">
        <v>69</v>
      </c>
      <c r="F70" s="89">
        <v>4763</v>
      </c>
      <c r="G70" s="89">
        <v>55</v>
      </c>
      <c r="H70" s="88"/>
      <c r="I70" s="86"/>
      <c r="J70" s="86"/>
      <c r="K70" s="87"/>
      <c r="L70" s="86"/>
      <c r="M70" s="86"/>
      <c r="N70" s="87"/>
      <c r="O70" s="86"/>
      <c r="P70" s="86"/>
      <c r="Q70" s="87"/>
    </row>
    <row r="71" spans="1:17" ht="24" customHeight="1">
      <c r="A71" s="91">
        <v>10</v>
      </c>
      <c r="B71" s="92"/>
      <c r="C71" s="93" t="s">
        <v>76</v>
      </c>
      <c r="D71" s="93" t="s">
        <v>48</v>
      </c>
      <c r="E71" s="94" t="s">
        <v>69</v>
      </c>
      <c r="F71" s="95" t="s">
        <v>56</v>
      </c>
      <c r="G71" s="96">
        <v>1920000</v>
      </c>
      <c r="H71" s="97">
        <v>1920000</v>
      </c>
      <c r="I71" s="98"/>
      <c r="J71" s="98"/>
      <c r="K71" s="99"/>
      <c r="L71" s="98"/>
      <c r="M71" s="98"/>
      <c r="N71" s="99"/>
      <c r="O71" s="98"/>
      <c r="P71" s="98"/>
      <c r="Q71" s="99"/>
    </row>
    <row r="72" spans="1:17" ht="14.45" customHeight="1">
      <c r="A72" s="75">
        <v>11</v>
      </c>
      <c r="B72" s="76"/>
      <c r="C72" s="77" t="s">
        <v>78</v>
      </c>
      <c r="D72" s="77" t="s">
        <v>48</v>
      </c>
      <c r="E72" s="78" t="s">
        <v>79</v>
      </c>
      <c r="F72" s="79" t="s">
        <v>50</v>
      </c>
      <c r="G72" s="79" t="s">
        <v>50</v>
      </c>
      <c r="H72" s="80" t="s">
        <v>50</v>
      </c>
      <c r="I72" s="79"/>
      <c r="J72" s="79"/>
      <c r="K72" s="80"/>
      <c r="L72" s="79"/>
      <c r="M72" s="79"/>
      <c r="N72" s="80"/>
      <c r="O72" s="79"/>
      <c r="P72" s="79"/>
      <c r="Q72" s="80"/>
    </row>
    <row r="73" spans="1:17" ht="60" customHeight="1">
      <c r="A73" s="81">
        <v>11</v>
      </c>
      <c r="B73" s="82"/>
      <c r="C73" s="83" t="s">
        <v>78</v>
      </c>
      <c r="D73" s="83" t="s">
        <v>48</v>
      </c>
      <c r="E73" s="84" t="s">
        <v>79</v>
      </c>
      <c r="F73" s="85"/>
      <c r="G73" s="86" t="s">
        <v>80</v>
      </c>
      <c r="H73" s="87" t="s">
        <v>80</v>
      </c>
      <c r="I73" s="86"/>
      <c r="J73" s="86"/>
      <c r="K73" s="87"/>
      <c r="L73" s="86"/>
      <c r="M73" s="86"/>
      <c r="N73" s="87"/>
      <c r="O73" s="86"/>
      <c r="P73" s="86"/>
      <c r="Q73" s="87"/>
    </row>
    <row r="74" spans="1:17" ht="45" customHeight="1">
      <c r="A74" s="81">
        <v>11</v>
      </c>
      <c r="B74" s="82"/>
      <c r="C74" s="83" t="s">
        <v>78</v>
      </c>
      <c r="D74" s="83" t="s">
        <v>48</v>
      </c>
      <c r="E74" s="84" t="s">
        <v>79</v>
      </c>
      <c r="F74" s="85"/>
      <c r="G74" s="85"/>
      <c r="H74" s="88"/>
      <c r="I74" s="86"/>
      <c r="J74" s="86"/>
      <c r="K74" s="87"/>
      <c r="L74" s="86"/>
      <c r="M74" s="86"/>
      <c r="N74" s="87"/>
      <c r="O74" s="86"/>
      <c r="P74" s="86"/>
      <c r="Q74" s="87"/>
    </row>
    <row r="75" spans="1:17" ht="14.45" customHeight="1">
      <c r="A75" s="81">
        <v>11</v>
      </c>
      <c r="B75" s="82"/>
      <c r="C75" s="83" t="s">
        <v>78</v>
      </c>
      <c r="D75" s="83" t="s">
        <v>48</v>
      </c>
      <c r="E75" s="84" t="s">
        <v>79</v>
      </c>
      <c r="F75" s="89">
        <v>1152</v>
      </c>
      <c r="G75" s="89">
        <v>4390</v>
      </c>
      <c r="H75" s="90">
        <v>1220</v>
      </c>
      <c r="I75" s="86"/>
      <c r="J75" s="86"/>
      <c r="K75" s="87"/>
      <c r="L75" s="86"/>
      <c r="M75" s="86"/>
      <c r="N75" s="87"/>
      <c r="O75" s="86"/>
      <c r="P75" s="86"/>
      <c r="Q75" s="87"/>
    </row>
    <row r="76" spans="1:17" ht="45" customHeight="1">
      <c r="A76" s="81">
        <v>11</v>
      </c>
      <c r="B76" s="82"/>
      <c r="C76" s="83" t="s">
        <v>78</v>
      </c>
      <c r="D76" s="83" t="s">
        <v>48</v>
      </c>
      <c r="E76" s="84" t="s">
        <v>79</v>
      </c>
      <c r="F76" s="85"/>
      <c r="G76" s="85"/>
      <c r="H76" s="88"/>
      <c r="I76" s="86"/>
      <c r="J76" s="86"/>
      <c r="K76" s="87"/>
      <c r="L76" s="86"/>
      <c r="M76" s="86"/>
      <c r="N76" s="87"/>
      <c r="O76" s="86"/>
      <c r="P76" s="86"/>
      <c r="Q76" s="87"/>
    </row>
    <row r="77" spans="1:17" ht="14.45" customHeight="1">
      <c r="A77" s="81">
        <v>11</v>
      </c>
      <c r="B77" s="82"/>
      <c r="C77" s="83" t="s">
        <v>78</v>
      </c>
      <c r="D77" s="83" t="s">
        <v>48</v>
      </c>
      <c r="E77" s="84" t="s">
        <v>79</v>
      </c>
      <c r="F77" s="89">
        <v>966</v>
      </c>
      <c r="G77" s="89">
        <v>899</v>
      </c>
      <c r="H77" s="90">
        <v>55</v>
      </c>
      <c r="I77" s="86"/>
      <c r="J77" s="86"/>
      <c r="K77" s="87"/>
      <c r="L77" s="86"/>
      <c r="M77" s="86"/>
      <c r="N77" s="87"/>
      <c r="O77" s="86"/>
      <c r="P77" s="86"/>
      <c r="Q77" s="87"/>
    </row>
    <row r="78" spans="1:17" ht="24" customHeight="1">
      <c r="A78" s="91">
        <v>11</v>
      </c>
      <c r="B78" s="92"/>
      <c r="C78" s="93" t="s">
        <v>78</v>
      </c>
      <c r="D78" s="93" t="s">
        <v>48</v>
      </c>
      <c r="E78" s="94" t="s">
        <v>79</v>
      </c>
      <c r="F78" s="95" t="s">
        <v>56</v>
      </c>
      <c r="G78" s="96">
        <v>2000000</v>
      </c>
      <c r="H78" s="97">
        <v>2000000</v>
      </c>
      <c r="I78" s="98"/>
      <c r="J78" s="98"/>
      <c r="K78" s="99"/>
      <c r="L78" s="98"/>
      <c r="M78" s="98"/>
      <c r="N78" s="99"/>
      <c r="O78" s="98"/>
      <c r="P78" s="98"/>
      <c r="Q78" s="99"/>
    </row>
    <row r="79" spans="1:17" ht="14.45" customHeight="1">
      <c r="A79" s="75">
        <v>12</v>
      </c>
      <c r="B79" s="76"/>
      <c r="C79" s="77" t="s">
        <v>81</v>
      </c>
      <c r="D79" s="77" t="s">
        <v>48</v>
      </c>
      <c r="E79" s="78" t="s">
        <v>82</v>
      </c>
      <c r="F79" s="79" t="s">
        <v>50</v>
      </c>
      <c r="G79" s="79" t="s">
        <v>50</v>
      </c>
      <c r="H79" s="80" t="s">
        <v>50</v>
      </c>
      <c r="I79" s="79"/>
      <c r="J79" s="79"/>
      <c r="K79" s="80"/>
      <c r="L79" s="79"/>
      <c r="M79" s="79"/>
      <c r="N79" s="80"/>
      <c r="O79" s="79"/>
      <c r="P79" s="79"/>
      <c r="Q79" s="80"/>
    </row>
    <row r="80" spans="1:17" ht="60" customHeight="1">
      <c r="A80" s="81">
        <v>12</v>
      </c>
      <c r="B80" s="82"/>
      <c r="C80" s="83" t="s">
        <v>81</v>
      </c>
      <c r="D80" s="83" t="s">
        <v>48</v>
      </c>
      <c r="E80" s="84" t="s">
        <v>82</v>
      </c>
      <c r="F80" s="85"/>
      <c r="G80" s="86" t="s">
        <v>83</v>
      </c>
      <c r="H80" s="87" t="s">
        <v>83</v>
      </c>
      <c r="I80" s="86"/>
      <c r="J80" s="86"/>
      <c r="K80" s="87"/>
      <c r="L80" s="86"/>
      <c r="M80" s="86"/>
      <c r="N80" s="87"/>
      <c r="O80" s="86"/>
      <c r="P80" s="86"/>
      <c r="Q80" s="87"/>
    </row>
    <row r="81" spans="1:17" ht="45" customHeight="1">
      <c r="A81" s="81">
        <v>12</v>
      </c>
      <c r="B81" s="82"/>
      <c r="C81" s="83" t="s">
        <v>81</v>
      </c>
      <c r="D81" s="83" t="s">
        <v>48</v>
      </c>
      <c r="E81" s="84" t="s">
        <v>82</v>
      </c>
      <c r="F81" s="85"/>
      <c r="G81" s="85"/>
      <c r="H81" s="88"/>
      <c r="I81" s="86"/>
      <c r="J81" s="86"/>
      <c r="K81" s="87"/>
      <c r="L81" s="86"/>
      <c r="M81" s="86"/>
      <c r="N81" s="87"/>
      <c r="O81" s="86"/>
      <c r="P81" s="86"/>
      <c r="Q81" s="87"/>
    </row>
    <row r="82" spans="1:17" ht="14.45" customHeight="1">
      <c r="A82" s="81">
        <v>12</v>
      </c>
      <c r="B82" s="82"/>
      <c r="C82" s="83" t="s">
        <v>81</v>
      </c>
      <c r="D82" s="83" t="s">
        <v>48</v>
      </c>
      <c r="E82" s="84" t="s">
        <v>82</v>
      </c>
      <c r="F82" s="89">
        <v>867</v>
      </c>
      <c r="G82" s="89">
        <v>1105</v>
      </c>
      <c r="H82" s="90">
        <v>1044</v>
      </c>
      <c r="I82" s="86"/>
      <c r="J82" s="86"/>
      <c r="K82" s="87"/>
      <c r="L82" s="86"/>
      <c r="M82" s="86"/>
      <c r="N82" s="87"/>
      <c r="O82" s="86"/>
      <c r="P82" s="86"/>
      <c r="Q82" s="87"/>
    </row>
    <row r="83" spans="1:17" ht="45" customHeight="1">
      <c r="A83" s="81">
        <v>12</v>
      </c>
      <c r="B83" s="82"/>
      <c r="C83" s="83" t="s">
        <v>81</v>
      </c>
      <c r="D83" s="83" t="s">
        <v>48</v>
      </c>
      <c r="E83" s="84" t="s">
        <v>82</v>
      </c>
      <c r="F83" s="85"/>
      <c r="G83" s="85"/>
      <c r="H83" s="88"/>
      <c r="I83" s="86"/>
      <c r="J83" s="86"/>
      <c r="K83" s="87"/>
      <c r="L83" s="86"/>
      <c r="M83" s="86"/>
      <c r="N83" s="87"/>
      <c r="O83" s="86"/>
      <c r="P83" s="86"/>
      <c r="Q83" s="87"/>
    </row>
    <row r="84" spans="1:17" ht="14.45" customHeight="1">
      <c r="A84" s="81">
        <v>12</v>
      </c>
      <c r="B84" s="82"/>
      <c r="C84" s="83" t="s">
        <v>81</v>
      </c>
      <c r="D84" s="83" t="s">
        <v>48</v>
      </c>
      <c r="E84" s="84" t="s">
        <v>82</v>
      </c>
      <c r="F84" s="89">
        <v>1054</v>
      </c>
      <c r="G84" s="89">
        <v>4234</v>
      </c>
      <c r="H84" s="90">
        <v>55</v>
      </c>
      <c r="I84" s="86"/>
      <c r="J84" s="86"/>
      <c r="K84" s="87"/>
      <c r="L84" s="86"/>
      <c r="M84" s="86"/>
      <c r="N84" s="87"/>
      <c r="O84" s="86"/>
      <c r="P84" s="86"/>
      <c r="Q84" s="87"/>
    </row>
    <row r="85" spans="1:17" ht="24" customHeight="1">
      <c r="A85" s="91">
        <v>12</v>
      </c>
      <c r="B85" s="92"/>
      <c r="C85" s="93" t="s">
        <v>81</v>
      </c>
      <c r="D85" s="93" t="s">
        <v>48</v>
      </c>
      <c r="E85" s="94" t="s">
        <v>82</v>
      </c>
      <c r="F85" s="95" t="s">
        <v>56</v>
      </c>
      <c r="G85" s="96">
        <v>1960000</v>
      </c>
      <c r="H85" s="97">
        <v>1960000</v>
      </c>
      <c r="I85" s="98"/>
      <c r="J85" s="98"/>
      <c r="K85" s="99"/>
      <c r="L85" s="98"/>
      <c r="M85" s="98"/>
      <c r="N85" s="99"/>
      <c r="O85" s="98"/>
      <c r="P85" s="98"/>
      <c r="Q85" s="99"/>
    </row>
    <row r="86" spans="1:17" ht="14.45" customHeight="1">
      <c r="A86" s="75">
        <v>13</v>
      </c>
      <c r="B86" s="76"/>
      <c r="C86" s="77" t="s">
        <v>84</v>
      </c>
      <c r="D86" s="77" t="s">
        <v>48</v>
      </c>
      <c r="E86" s="78" t="s">
        <v>82</v>
      </c>
      <c r="F86" s="79" t="s">
        <v>50</v>
      </c>
      <c r="G86" s="79" t="s">
        <v>50</v>
      </c>
      <c r="H86" s="80" t="s">
        <v>50</v>
      </c>
      <c r="I86" s="79" t="s">
        <v>51</v>
      </c>
      <c r="J86" s="79" t="s">
        <v>51</v>
      </c>
      <c r="K86" s="80" t="s">
        <v>51</v>
      </c>
      <c r="L86" s="79"/>
      <c r="M86" s="79"/>
      <c r="N86" s="80"/>
      <c r="O86" s="79"/>
      <c r="P86" s="79"/>
      <c r="Q86" s="80"/>
    </row>
    <row r="87" spans="1:17" ht="60" customHeight="1">
      <c r="A87" s="81">
        <v>13</v>
      </c>
      <c r="B87" s="82"/>
      <c r="C87" s="83" t="s">
        <v>84</v>
      </c>
      <c r="D87" s="83" t="s">
        <v>48</v>
      </c>
      <c r="E87" s="84" t="s">
        <v>82</v>
      </c>
      <c r="F87" s="85"/>
      <c r="G87" s="86" t="s">
        <v>85</v>
      </c>
      <c r="H87" s="87" t="s">
        <v>85</v>
      </c>
      <c r="I87" s="85"/>
      <c r="J87" s="86" t="s">
        <v>86</v>
      </c>
      <c r="K87" s="87" t="s">
        <v>86</v>
      </c>
      <c r="L87" s="86"/>
      <c r="M87" s="86"/>
      <c r="N87" s="87"/>
      <c r="O87" s="86"/>
      <c r="P87" s="86"/>
      <c r="Q87" s="87"/>
    </row>
    <row r="88" spans="1:17" ht="45" customHeight="1">
      <c r="A88" s="81">
        <v>13</v>
      </c>
      <c r="B88" s="82"/>
      <c r="C88" s="83" t="s">
        <v>84</v>
      </c>
      <c r="D88" s="83" t="s">
        <v>48</v>
      </c>
      <c r="E88" s="84" t="s">
        <v>82</v>
      </c>
      <c r="F88" s="85"/>
      <c r="G88" s="85"/>
      <c r="H88" s="88"/>
      <c r="I88" s="85"/>
      <c r="J88" s="85"/>
      <c r="K88" s="88"/>
      <c r="L88" s="86"/>
      <c r="M88" s="86"/>
      <c r="N88" s="87"/>
      <c r="O88" s="86"/>
      <c r="P88" s="86"/>
      <c r="Q88" s="87"/>
    </row>
    <row r="89" spans="1:17" ht="14.45" customHeight="1">
      <c r="A89" s="81">
        <v>13</v>
      </c>
      <c r="B89" s="82"/>
      <c r="C89" s="83" t="s">
        <v>84</v>
      </c>
      <c r="D89" s="83" t="s">
        <v>48</v>
      </c>
      <c r="E89" s="84" t="s">
        <v>82</v>
      </c>
      <c r="F89" s="89">
        <v>867</v>
      </c>
      <c r="G89" s="89">
        <v>1105</v>
      </c>
      <c r="H89" s="90">
        <v>1044</v>
      </c>
      <c r="I89" s="89">
        <v>867</v>
      </c>
      <c r="J89" s="89">
        <v>1105</v>
      </c>
      <c r="K89" s="90">
        <v>1044</v>
      </c>
      <c r="L89" s="86"/>
      <c r="M89" s="86"/>
      <c r="N89" s="87"/>
      <c r="O89" s="86"/>
      <c r="P89" s="86"/>
      <c r="Q89" s="87"/>
    </row>
    <row r="90" spans="1:17" ht="45" customHeight="1">
      <c r="A90" s="81">
        <v>13</v>
      </c>
      <c r="B90" s="82"/>
      <c r="C90" s="83" t="s">
        <v>84</v>
      </c>
      <c r="D90" s="83" t="s">
        <v>48</v>
      </c>
      <c r="E90" s="84" t="s">
        <v>82</v>
      </c>
      <c r="F90" s="85"/>
      <c r="G90" s="85"/>
      <c r="H90" s="88"/>
      <c r="I90" s="85"/>
      <c r="J90" s="85"/>
      <c r="K90" s="88"/>
      <c r="L90" s="86"/>
      <c r="M90" s="86"/>
      <c r="N90" s="87"/>
      <c r="O90" s="86"/>
      <c r="P90" s="86"/>
      <c r="Q90" s="87"/>
    </row>
    <row r="91" spans="1:17" ht="14.45" customHeight="1">
      <c r="A91" s="81">
        <v>13</v>
      </c>
      <c r="B91" s="82"/>
      <c r="C91" s="83" t="s">
        <v>84</v>
      </c>
      <c r="D91" s="83" t="s">
        <v>48</v>
      </c>
      <c r="E91" s="84" t="s">
        <v>82</v>
      </c>
      <c r="F91" s="89">
        <v>1054</v>
      </c>
      <c r="G91" s="89">
        <v>4234</v>
      </c>
      <c r="H91" s="90">
        <v>55</v>
      </c>
      <c r="I91" s="89">
        <v>1054</v>
      </c>
      <c r="J91" s="89">
        <v>4234</v>
      </c>
      <c r="K91" s="90">
        <v>55</v>
      </c>
      <c r="L91" s="86"/>
      <c r="M91" s="86"/>
      <c r="N91" s="87"/>
      <c r="O91" s="86"/>
      <c r="P91" s="86"/>
      <c r="Q91" s="87"/>
    </row>
    <row r="92" spans="1:17" ht="24" customHeight="1">
      <c r="A92" s="91">
        <v>13</v>
      </c>
      <c r="B92" s="92"/>
      <c r="C92" s="93" t="s">
        <v>84</v>
      </c>
      <c r="D92" s="93" t="s">
        <v>48</v>
      </c>
      <c r="E92" s="94" t="s">
        <v>82</v>
      </c>
      <c r="F92" s="95" t="s">
        <v>56</v>
      </c>
      <c r="G92" s="96">
        <v>1960000</v>
      </c>
      <c r="H92" s="97">
        <v>1960000</v>
      </c>
      <c r="I92" s="95" t="s">
        <v>56</v>
      </c>
      <c r="J92" s="96">
        <v>1960000</v>
      </c>
      <c r="K92" s="97">
        <v>1960000</v>
      </c>
      <c r="L92" s="98"/>
      <c r="M92" s="98"/>
      <c r="N92" s="99"/>
      <c r="O92" s="98"/>
      <c r="P92" s="98"/>
      <c r="Q92" s="99"/>
    </row>
    <row r="93" spans="1:17" ht="14.45" customHeight="1">
      <c r="A93" s="75">
        <v>14</v>
      </c>
      <c r="B93" s="76"/>
      <c r="C93" s="77" t="s">
        <v>87</v>
      </c>
      <c r="D93" s="77" t="s">
        <v>48</v>
      </c>
      <c r="E93" s="78" t="s">
        <v>82</v>
      </c>
      <c r="F93" s="79" t="s">
        <v>50</v>
      </c>
      <c r="G93" s="79" t="s">
        <v>50</v>
      </c>
      <c r="H93" s="80" t="s">
        <v>50</v>
      </c>
      <c r="I93" s="79"/>
      <c r="J93" s="79"/>
      <c r="K93" s="80"/>
      <c r="L93" s="79"/>
      <c r="M93" s="79"/>
      <c r="N93" s="80"/>
      <c r="O93" s="79"/>
      <c r="P93" s="79"/>
      <c r="Q93" s="80"/>
    </row>
    <row r="94" spans="1:17" ht="60" customHeight="1">
      <c r="A94" s="81">
        <v>14</v>
      </c>
      <c r="B94" s="82"/>
      <c r="C94" s="83" t="s">
        <v>87</v>
      </c>
      <c r="D94" s="83" t="s">
        <v>48</v>
      </c>
      <c r="E94" s="84" t="s">
        <v>82</v>
      </c>
      <c r="F94" s="85"/>
      <c r="G94" s="86" t="s">
        <v>88</v>
      </c>
      <c r="H94" s="87" t="s">
        <v>88</v>
      </c>
      <c r="I94" s="86"/>
      <c r="J94" s="86"/>
      <c r="K94" s="87"/>
      <c r="L94" s="86"/>
      <c r="M94" s="86"/>
      <c r="N94" s="87"/>
      <c r="O94" s="86"/>
      <c r="P94" s="86"/>
      <c r="Q94" s="87"/>
    </row>
    <row r="95" spans="1:17" ht="45" customHeight="1">
      <c r="A95" s="81">
        <v>14</v>
      </c>
      <c r="B95" s="82"/>
      <c r="C95" s="83" t="s">
        <v>87</v>
      </c>
      <c r="D95" s="83" t="s">
        <v>48</v>
      </c>
      <c r="E95" s="84" t="s">
        <v>82</v>
      </c>
      <c r="F95" s="85"/>
      <c r="G95" s="85"/>
      <c r="H95" s="88"/>
      <c r="I95" s="86"/>
      <c r="J95" s="86"/>
      <c r="K95" s="87"/>
      <c r="L95" s="86"/>
      <c r="M95" s="86"/>
      <c r="N95" s="87"/>
      <c r="O95" s="86"/>
      <c r="P95" s="86"/>
      <c r="Q95" s="87"/>
    </row>
    <row r="96" spans="1:17" ht="14.45" customHeight="1">
      <c r="A96" s="81">
        <v>14</v>
      </c>
      <c r="B96" s="82"/>
      <c r="C96" s="83" t="s">
        <v>87</v>
      </c>
      <c r="D96" s="83" t="s">
        <v>48</v>
      </c>
      <c r="E96" s="84" t="s">
        <v>82</v>
      </c>
      <c r="F96" s="89">
        <v>867</v>
      </c>
      <c r="G96" s="89">
        <v>1312</v>
      </c>
      <c r="H96" s="90">
        <v>1044</v>
      </c>
      <c r="I96" s="86"/>
      <c r="J96" s="86"/>
      <c r="K96" s="87"/>
      <c r="L96" s="86"/>
      <c r="M96" s="86"/>
      <c r="N96" s="87"/>
      <c r="O96" s="86"/>
      <c r="P96" s="86"/>
      <c r="Q96" s="87"/>
    </row>
    <row r="97" spans="1:17" ht="45" customHeight="1">
      <c r="A97" s="81">
        <v>14</v>
      </c>
      <c r="B97" s="82"/>
      <c r="C97" s="83" t="s">
        <v>87</v>
      </c>
      <c r="D97" s="83" t="s">
        <v>48</v>
      </c>
      <c r="E97" s="84" t="s">
        <v>82</v>
      </c>
      <c r="F97" s="85"/>
      <c r="G97" s="85"/>
      <c r="H97" s="88"/>
      <c r="I97" s="86"/>
      <c r="J97" s="86"/>
      <c r="K97" s="87"/>
      <c r="L97" s="86"/>
      <c r="M97" s="86"/>
      <c r="N97" s="87"/>
      <c r="O97" s="86"/>
      <c r="P97" s="86"/>
      <c r="Q97" s="87"/>
    </row>
    <row r="98" spans="1:17" ht="14.45" customHeight="1">
      <c r="A98" s="81">
        <v>14</v>
      </c>
      <c r="B98" s="82"/>
      <c r="C98" s="83" t="s">
        <v>87</v>
      </c>
      <c r="D98" s="83" t="s">
        <v>48</v>
      </c>
      <c r="E98" s="84" t="s">
        <v>82</v>
      </c>
      <c r="F98" s="89">
        <v>888</v>
      </c>
      <c r="G98" s="89">
        <v>4234</v>
      </c>
      <c r="H98" s="90">
        <v>55</v>
      </c>
      <c r="I98" s="86"/>
      <c r="J98" s="86"/>
      <c r="K98" s="87"/>
      <c r="L98" s="86"/>
      <c r="M98" s="86"/>
      <c r="N98" s="87"/>
      <c r="O98" s="86"/>
      <c r="P98" s="86"/>
      <c r="Q98" s="87"/>
    </row>
    <row r="99" spans="1:17" ht="24" customHeight="1">
      <c r="A99" s="91">
        <v>14</v>
      </c>
      <c r="B99" s="92"/>
      <c r="C99" s="93" t="s">
        <v>87</v>
      </c>
      <c r="D99" s="93" t="s">
        <v>48</v>
      </c>
      <c r="E99" s="94" t="s">
        <v>82</v>
      </c>
      <c r="F99" s="95" t="s">
        <v>56</v>
      </c>
      <c r="G99" s="96">
        <v>1910000</v>
      </c>
      <c r="H99" s="97">
        <v>1910000</v>
      </c>
      <c r="I99" s="98"/>
      <c r="J99" s="98"/>
      <c r="K99" s="99"/>
      <c r="L99" s="98"/>
      <c r="M99" s="98"/>
      <c r="N99" s="99"/>
      <c r="O99" s="98"/>
      <c r="P99" s="98"/>
      <c r="Q99" s="99"/>
    </row>
    <row r="100" spans="1:17" ht="14.45" customHeight="1">
      <c r="A100" s="75">
        <v>15</v>
      </c>
      <c r="B100" s="76"/>
      <c r="C100" s="77" t="s">
        <v>89</v>
      </c>
      <c r="D100" s="77" t="s">
        <v>48</v>
      </c>
      <c r="E100" s="78" t="s">
        <v>82</v>
      </c>
      <c r="F100" s="79" t="s">
        <v>50</v>
      </c>
      <c r="G100" s="79" t="s">
        <v>50</v>
      </c>
      <c r="H100" s="80" t="s">
        <v>50</v>
      </c>
      <c r="I100" s="79"/>
      <c r="J100" s="79"/>
      <c r="K100" s="80"/>
      <c r="L100" s="79"/>
      <c r="M100" s="79"/>
      <c r="N100" s="80"/>
      <c r="O100" s="79"/>
      <c r="P100" s="79"/>
      <c r="Q100" s="80"/>
    </row>
    <row r="101" spans="1:17" ht="60" customHeight="1">
      <c r="A101" s="81">
        <v>15</v>
      </c>
      <c r="B101" s="82"/>
      <c r="C101" s="83" t="s">
        <v>89</v>
      </c>
      <c r="D101" s="83" t="s">
        <v>48</v>
      </c>
      <c r="E101" s="84" t="s">
        <v>82</v>
      </c>
      <c r="F101" s="85"/>
      <c r="G101" s="86" t="s">
        <v>90</v>
      </c>
      <c r="H101" s="87" t="s">
        <v>90</v>
      </c>
      <c r="I101" s="86"/>
      <c r="J101" s="86"/>
      <c r="K101" s="87"/>
      <c r="L101" s="86"/>
      <c r="M101" s="86"/>
      <c r="N101" s="87"/>
      <c r="O101" s="86"/>
      <c r="P101" s="86"/>
      <c r="Q101" s="87"/>
    </row>
    <row r="102" spans="1:17" ht="45" customHeight="1">
      <c r="A102" s="81">
        <v>15</v>
      </c>
      <c r="B102" s="82"/>
      <c r="C102" s="83" t="s">
        <v>89</v>
      </c>
      <c r="D102" s="83" t="s">
        <v>48</v>
      </c>
      <c r="E102" s="84" t="s">
        <v>82</v>
      </c>
      <c r="F102" s="85"/>
      <c r="G102" s="85"/>
      <c r="H102" s="88"/>
      <c r="I102" s="86"/>
      <c r="J102" s="86"/>
      <c r="K102" s="87"/>
      <c r="L102" s="86"/>
      <c r="M102" s="86"/>
      <c r="N102" s="87"/>
      <c r="O102" s="86"/>
      <c r="P102" s="86"/>
      <c r="Q102" s="87"/>
    </row>
    <row r="103" spans="1:17" ht="14.45" customHeight="1">
      <c r="A103" s="81">
        <v>15</v>
      </c>
      <c r="B103" s="82"/>
      <c r="C103" s="83" t="s">
        <v>89</v>
      </c>
      <c r="D103" s="83" t="s">
        <v>48</v>
      </c>
      <c r="E103" s="84" t="s">
        <v>82</v>
      </c>
      <c r="F103" s="89">
        <v>867</v>
      </c>
      <c r="G103" s="89">
        <v>1312</v>
      </c>
      <c r="H103" s="90">
        <v>1044</v>
      </c>
      <c r="I103" s="86"/>
      <c r="J103" s="86"/>
      <c r="K103" s="87"/>
      <c r="L103" s="86"/>
      <c r="M103" s="86"/>
      <c r="N103" s="87"/>
      <c r="O103" s="86"/>
      <c r="P103" s="86"/>
      <c r="Q103" s="87"/>
    </row>
    <row r="104" spans="1:17" ht="45" customHeight="1">
      <c r="A104" s="81">
        <v>15</v>
      </c>
      <c r="B104" s="82"/>
      <c r="C104" s="83" t="s">
        <v>89</v>
      </c>
      <c r="D104" s="83" t="s">
        <v>48</v>
      </c>
      <c r="E104" s="84" t="s">
        <v>82</v>
      </c>
      <c r="F104" s="85"/>
      <c r="G104" s="85"/>
      <c r="H104" s="88"/>
      <c r="I104" s="86"/>
      <c r="J104" s="86"/>
      <c r="K104" s="87"/>
      <c r="L104" s="86"/>
      <c r="M104" s="86"/>
      <c r="N104" s="87"/>
      <c r="O104" s="86"/>
      <c r="P104" s="86"/>
      <c r="Q104" s="87"/>
    </row>
    <row r="105" spans="1:17" ht="14.45" customHeight="1">
      <c r="A105" s="81">
        <v>15</v>
      </c>
      <c r="B105" s="82"/>
      <c r="C105" s="83" t="s">
        <v>89</v>
      </c>
      <c r="D105" s="83" t="s">
        <v>48</v>
      </c>
      <c r="E105" s="84" t="s">
        <v>82</v>
      </c>
      <c r="F105" s="89">
        <v>888</v>
      </c>
      <c r="G105" s="89">
        <v>4234</v>
      </c>
      <c r="H105" s="90">
        <v>55</v>
      </c>
      <c r="I105" s="86"/>
      <c r="J105" s="86"/>
      <c r="K105" s="87"/>
      <c r="L105" s="86"/>
      <c r="M105" s="86"/>
      <c r="N105" s="87"/>
      <c r="O105" s="86"/>
      <c r="P105" s="86"/>
      <c r="Q105" s="87"/>
    </row>
    <row r="106" spans="1:17" ht="24" customHeight="1">
      <c r="A106" s="91">
        <v>15</v>
      </c>
      <c r="B106" s="92"/>
      <c r="C106" s="93" t="s">
        <v>89</v>
      </c>
      <c r="D106" s="93" t="s">
        <v>48</v>
      </c>
      <c r="E106" s="94" t="s">
        <v>82</v>
      </c>
      <c r="F106" s="95" t="s">
        <v>56</v>
      </c>
      <c r="G106" s="96">
        <v>1907000</v>
      </c>
      <c r="H106" s="97">
        <v>1907000</v>
      </c>
      <c r="I106" s="98"/>
      <c r="J106" s="98"/>
      <c r="K106" s="99"/>
      <c r="L106" s="98"/>
      <c r="M106" s="98"/>
      <c r="N106" s="99"/>
      <c r="O106" s="98"/>
      <c r="P106" s="98"/>
      <c r="Q106" s="99"/>
    </row>
    <row r="107" spans="1:17" ht="14.45" customHeight="1">
      <c r="A107" s="75">
        <v>16</v>
      </c>
      <c r="B107" s="76"/>
      <c r="C107" s="77" t="s">
        <v>91</v>
      </c>
      <c r="D107" s="77" t="s">
        <v>48</v>
      </c>
      <c r="E107" s="78" t="s">
        <v>92</v>
      </c>
      <c r="F107" s="79" t="s">
        <v>50</v>
      </c>
      <c r="G107" s="79" t="s">
        <v>50</v>
      </c>
      <c r="H107" s="80" t="s">
        <v>50</v>
      </c>
      <c r="I107" s="79" t="s">
        <v>51</v>
      </c>
      <c r="J107" s="79" t="s">
        <v>51</v>
      </c>
      <c r="K107" s="80" t="s">
        <v>51</v>
      </c>
      <c r="L107" s="79"/>
      <c r="M107" s="79"/>
      <c r="N107" s="80"/>
      <c r="O107" s="79"/>
      <c r="P107" s="79"/>
      <c r="Q107" s="80"/>
    </row>
    <row r="108" spans="1:17" ht="60" customHeight="1">
      <c r="A108" s="81">
        <v>16</v>
      </c>
      <c r="B108" s="82"/>
      <c r="C108" s="83" t="s">
        <v>91</v>
      </c>
      <c r="D108" s="83" t="s">
        <v>48</v>
      </c>
      <c r="E108" s="84" t="s">
        <v>92</v>
      </c>
      <c r="F108" s="85"/>
      <c r="G108" s="86" t="s">
        <v>93</v>
      </c>
      <c r="H108" s="87" t="s">
        <v>93</v>
      </c>
      <c r="I108" s="85"/>
      <c r="J108" s="86" t="s">
        <v>94</v>
      </c>
      <c r="K108" s="87" t="s">
        <v>94</v>
      </c>
      <c r="L108" s="86"/>
      <c r="M108" s="86"/>
      <c r="N108" s="87"/>
      <c r="O108" s="86"/>
      <c r="P108" s="86"/>
      <c r="Q108" s="87"/>
    </row>
    <row r="109" spans="1:17" ht="45" customHeight="1">
      <c r="A109" s="81">
        <v>16</v>
      </c>
      <c r="B109" s="82"/>
      <c r="C109" s="83" t="s">
        <v>91</v>
      </c>
      <c r="D109" s="83" t="s">
        <v>48</v>
      </c>
      <c r="E109" s="84" t="s">
        <v>92</v>
      </c>
      <c r="F109" s="85"/>
      <c r="G109" s="85"/>
      <c r="H109" s="88"/>
      <c r="I109" s="85"/>
      <c r="J109" s="85"/>
      <c r="K109" s="88"/>
      <c r="L109" s="86"/>
      <c r="M109" s="86"/>
      <c r="N109" s="87"/>
      <c r="O109" s="86"/>
      <c r="P109" s="86"/>
      <c r="Q109" s="87"/>
    </row>
    <row r="110" spans="1:17" ht="14.45" customHeight="1">
      <c r="A110" s="81">
        <v>16</v>
      </c>
      <c r="B110" s="82"/>
      <c r="C110" s="83" t="s">
        <v>91</v>
      </c>
      <c r="D110" s="83" t="s">
        <v>48</v>
      </c>
      <c r="E110" s="84" t="s">
        <v>92</v>
      </c>
      <c r="F110" s="89">
        <v>943</v>
      </c>
      <c r="G110" s="89">
        <v>2444</v>
      </c>
      <c r="H110" s="90">
        <v>1469</v>
      </c>
      <c r="I110" s="89">
        <v>943</v>
      </c>
      <c r="J110" s="89">
        <v>2444</v>
      </c>
      <c r="K110" s="90">
        <v>1469</v>
      </c>
      <c r="L110" s="86"/>
      <c r="M110" s="86"/>
      <c r="N110" s="87"/>
      <c r="O110" s="86"/>
      <c r="P110" s="86"/>
      <c r="Q110" s="87"/>
    </row>
    <row r="111" spans="1:17" ht="45" customHeight="1">
      <c r="A111" s="81">
        <v>16</v>
      </c>
      <c r="B111" s="82"/>
      <c r="C111" s="83" t="s">
        <v>91</v>
      </c>
      <c r="D111" s="83" t="s">
        <v>48</v>
      </c>
      <c r="E111" s="84" t="s">
        <v>92</v>
      </c>
      <c r="F111" s="85"/>
      <c r="G111" s="85"/>
      <c r="H111" s="88"/>
      <c r="I111" s="85"/>
      <c r="J111" s="85"/>
      <c r="K111" s="88"/>
      <c r="L111" s="86"/>
      <c r="M111" s="86"/>
      <c r="N111" s="87"/>
      <c r="O111" s="86"/>
      <c r="P111" s="86"/>
      <c r="Q111" s="87"/>
    </row>
    <row r="112" spans="1:17" ht="14.45" customHeight="1">
      <c r="A112" s="81">
        <v>16</v>
      </c>
      <c r="B112" s="82"/>
      <c r="C112" s="83" t="s">
        <v>91</v>
      </c>
      <c r="D112" s="83" t="s">
        <v>48</v>
      </c>
      <c r="E112" s="84" t="s">
        <v>92</v>
      </c>
      <c r="F112" s="89">
        <v>1163</v>
      </c>
      <c r="G112" s="89">
        <v>490</v>
      </c>
      <c r="H112" s="90">
        <v>16</v>
      </c>
      <c r="I112" s="89">
        <v>1163</v>
      </c>
      <c r="J112" s="89">
        <v>490</v>
      </c>
      <c r="K112" s="90">
        <v>16</v>
      </c>
      <c r="L112" s="86"/>
      <c r="M112" s="86"/>
      <c r="N112" s="87"/>
      <c r="O112" s="86"/>
      <c r="P112" s="86"/>
      <c r="Q112" s="87"/>
    </row>
    <row r="113" spans="1:17" ht="24" customHeight="1">
      <c r="A113" s="91">
        <v>16</v>
      </c>
      <c r="B113" s="92"/>
      <c r="C113" s="93" t="s">
        <v>91</v>
      </c>
      <c r="D113" s="93" t="s">
        <v>48</v>
      </c>
      <c r="E113" s="94" t="s">
        <v>92</v>
      </c>
      <c r="F113" s="95" t="s">
        <v>56</v>
      </c>
      <c r="G113" s="96">
        <v>1550000</v>
      </c>
      <c r="H113" s="97">
        <v>1550000</v>
      </c>
      <c r="I113" s="95" t="s">
        <v>56</v>
      </c>
      <c r="J113" s="96">
        <v>1550000</v>
      </c>
      <c r="K113" s="97">
        <v>1550000</v>
      </c>
      <c r="L113" s="98"/>
      <c r="M113" s="98"/>
      <c r="N113" s="99"/>
      <c r="O113" s="98"/>
      <c r="P113" s="98"/>
      <c r="Q113" s="99"/>
    </row>
    <row r="114" spans="1:17" ht="14.45" customHeight="1">
      <c r="A114" s="75">
        <v>17</v>
      </c>
      <c r="B114" s="76"/>
      <c r="C114" s="77" t="s">
        <v>95</v>
      </c>
      <c r="D114" s="77" t="s">
        <v>48</v>
      </c>
      <c r="E114" s="78" t="s">
        <v>92</v>
      </c>
      <c r="F114" s="79" t="s">
        <v>50</v>
      </c>
      <c r="G114" s="79" t="s">
        <v>50</v>
      </c>
      <c r="H114" s="80" t="s">
        <v>50</v>
      </c>
      <c r="I114" s="79"/>
      <c r="J114" s="79"/>
      <c r="K114" s="80"/>
      <c r="L114" s="79"/>
      <c r="M114" s="79"/>
      <c r="N114" s="80"/>
      <c r="O114" s="79"/>
      <c r="P114" s="79"/>
      <c r="Q114" s="80"/>
    </row>
    <row r="115" spans="1:17" ht="60" customHeight="1">
      <c r="A115" s="81">
        <v>17</v>
      </c>
      <c r="B115" s="82"/>
      <c r="C115" s="83" t="s">
        <v>95</v>
      </c>
      <c r="D115" s="83" t="s">
        <v>48</v>
      </c>
      <c r="E115" s="84" t="s">
        <v>92</v>
      </c>
      <c r="F115" s="85"/>
      <c r="G115" s="86" t="s">
        <v>96</v>
      </c>
      <c r="H115" s="87" t="s">
        <v>96</v>
      </c>
      <c r="I115" s="86"/>
      <c r="J115" s="86"/>
      <c r="K115" s="87"/>
      <c r="L115" s="86"/>
      <c r="M115" s="86"/>
      <c r="N115" s="87"/>
      <c r="O115" s="86"/>
      <c r="P115" s="86"/>
      <c r="Q115" s="87"/>
    </row>
    <row r="116" spans="1:17" ht="45" customHeight="1">
      <c r="A116" s="81">
        <v>17</v>
      </c>
      <c r="B116" s="82"/>
      <c r="C116" s="83" t="s">
        <v>95</v>
      </c>
      <c r="D116" s="83" t="s">
        <v>48</v>
      </c>
      <c r="E116" s="84" t="s">
        <v>92</v>
      </c>
      <c r="F116" s="85"/>
      <c r="G116" s="85"/>
      <c r="H116" s="88"/>
      <c r="I116" s="86"/>
      <c r="J116" s="86"/>
      <c r="K116" s="87"/>
      <c r="L116" s="86"/>
      <c r="M116" s="86"/>
      <c r="N116" s="87"/>
      <c r="O116" s="86"/>
      <c r="P116" s="86"/>
      <c r="Q116" s="87"/>
    </row>
    <row r="117" spans="1:17" ht="14.45" customHeight="1">
      <c r="A117" s="81">
        <v>17</v>
      </c>
      <c r="B117" s="82"/>
      <c r="C117" s="83" t="s">
        <v>95</v>
      </c>
      <c r="D117" s="83" t="s">
        <v>48</v>
      </c>
      <c r="E117" s="84" t="s">
        <v>92</v>
      </c>
      <c r="F117" s="89">
        <v>943</v>
      </c>
      <c r="G117" s="89">
        <v>2444</v>
      </c>
      <c r="H117" s="90">
        <v>1469</v>
      </c>
      <c r="I117" s="86"/>
      <c r="J117" s="86"/>
      <c r="K117" s="87"/>
      <c r="L117" s="86"/>
      <c r="M117" s="86"/>
      <c r="N117" s="87"/>
      <c r="O117" s="86"/>
      <c r="P117" s="86"/>
      <c r="Q117" s="87"/>
    </row>
    <row r="118" spans="1:17" ht="45" customHeight="1">
      <c r="A118" s="81">
        <v>17</v>
      </c>
      <c r="B118" s="82"/>
      <c r="C118" s="83" t="s">
        <v>95</v>
      </c>
      <c r="D118" s="83" t="s">
        <v>48</v>
      </c>
      <c r="E118" s="84" t="s">
        <v>92</v>
      </c>
      <c r="F118" s="85"/>
      <c r="G118" s="85"/>
      <c r="H118" s="88"/>
      <c r="I118" s="86"/>
      <c r="J118" s="86"/>
      <c r="K118" s="87"/>
      <c r="L118" s="86"/>
      <c r="M118" s="86"/>
      <c r="N118" s="87"/>
      <c r="O118" s="86"/>
      <c r="P118" s="86"/>
      <c r="Q118" s="87"/>
    </row>
    <row r="119" spans="1:17" ht="14.45" customHeight="1">
      <c r="A119" s="81">
        <v>17</v>
      </c>
      <c r="B119" s="82"/>
      <c r="C119" s="83" t="s">
        <v>95</v>
      </c>
      <c r="D119" s="83" t="s">
        <v>48</v>
      </c>
      <c r="E119" s="84" t="s">
        <v>92</v>
      </c>
      <c r="F119" s="89">
        <v>1163</v>
      </c>
      <c r="G119" s="89">
        <v>490</v>
      </c>
      <c r="H119" s="90">
        <v>16</v>
      </c>
      <c r="I119" s="86"/>
      <c r="J119" s="86"/>
      <c r="K119" s="87"/>
      <c r="L119" s="86"/>
      <c r="M119" s="86"/>
      <c r="N119" s="87"/>
      <c r="O119" s="86"/>
      <c r="P119" s="86"/>
      <c r="Q119" s="87"/>
    </row>
    <row r="120" spans="1:17" ht="24" customHeight="1">
      <c r="A120" s="91">
        <v>17</v>
      </c>
      <c r="B120" s="92"/>
      <c r="C120" s="93" t="s">
        <v>95</v>
      </c>
      <c r="D120" s="93" t="s">
        <v>48</v>
      </c>
      <c r="E120" s="94" t="s">
        <v>92</v>
      </c>
      <c r="F120" s="95" t="s">
        <v>56</v>
      </c>
      <c r="G120" s="96">
        <v>1550000</v>
      </c>
      <c r="H120" s="97">
        <v>1550000</v>
      </c>
      <c r="I120" s="98"/>
      <c r="J120" s="98"/>
      <c r="K120" s="99"/>
      <c r="L120" s="98"/>
      <c r="M120" s="98"/>
      <c r="N120" s="99"/>
      <c r="O120" s="98"/>
      <c r="P120" s="98"/>
      <c r="Q120" s="99"/>
    </row>
    <row r="121" spans="1:17" ht="14.45" customHeight="1">
      <c r="A121" s="75">
        <v>18</v>
      </c>
      <c r="B121" s="76"/>
      <c r="C121" s="77" t="s">
        <v>97</v>
      </c>
      <c r="D121" s="77" t="s">
        <v>48</v>
      </c>
      <c r="E121" s="78" t="s">
        <v>98</v>
      </c>
      <c r="F121" s="79" t="s">
        <v>50</v>
      </c>
      <c r="G121" s="79" t="s">
        <v>50</v>
      </c>
      <c r="H121" s="80" t="s">
        <v>50</v>
      </c>
      <c r="I121" s="79"/>
      <c r="J121" s="79"/>
      <c r="K121" s="80"/>
      <c r="L121" s="79"/>
      <c r="M121" s="79"/>
      <c r="N121" s="80"/>
      <c r="O121" s="79"/>
      <c r="P121" s="79"/>
      <c r="Q121" s="80"/>
    </row>
    <row r="122" spans="1:17" ht="60" customHeight="1">
      <c r="A122" s="81">
        <v>18</v>
      </c>
      <c r="B122" s="82"/>
      <c r="C122" s="83" t="s">
        <v>97</v>
      </c>
      <c r="D122" s="83" t="s">
        <v>48</v>
      </c>
      <c r="E122" s="84" t="s">
        <v>98</v>
      </c>
      <c r="F122" s="85"/>
      <c r="G122" s="86" t="s">
        <v>99</v>
      </c>
      <c r="H122" s="87" t="s">
        <v>99</v>
      </c>
      <c r="I122" s="86"/>
      <c r="J122" s="86"/>
      <c r="K122" s="87"/>
      <c r="L122" s="86"/>
      <c r="M122" s="86"/>
      <c r="N122" s="87"/>
      <c r="O122" s="86"/>
      <c r="P122" s="86"/>
      <c r="Q122" s="87"/>
    </row>
    <row r="123" spans="1:17" ht="45" customHeight="1">
      <c r="A123" s="81">
        <v>18</v>
      </c>
      <c r="B123" s="82"/>
      <c r="C123" s="83" t="s">
        <v>97</v>
      </c>
      <c r="D123" s="83" t="s">
        <v>48</v>
      </c>
      <c r="E123" s="84" t="s">
        <v>98</v>
      </c>
      <c r="F123" s="85"/>
      <c r="G123" s="85"/>
      <c r="H123" s="88"/>
      <c r="I123" s="86"/>
      <c r="J123" s="86"/>
      <c r="K123" s="87"/>
      <c r="L123" s="86"/>
      <c r="M123" s="86"/>
      <c r="N123" s="87"/>
      <c r="O123" s="86"/>
      <c r="P123" s="86"/>
      <c r="Q123" s="87"/>
    </row>
    <row r="124" spans="1:17" ht="14.45" customHeight="1">
      <c r="A124" s="81">
        <v>18</v>
      </c>
      <c r="B124" s="82"/>
      <c r="C124" s="83" t="s">
        <v>97</v>
      </c>
      <c r="D124" s="83" t="s">
        <v>48</v>
      </c>
      <c r="E124" s="84" t="s">
        <v>98</v>
      </c>
      <c r="F124" s="89">
        <v>608</v>
      </c>
      <c r="G124" s="89">
        <v>1166</v>
      </c>
      <c r="H124" s="90">
        <v>1652</v>
      </c>
      <c r="I124" s="86"/>
      <c r="J124" s="86"/>
      <c r="K124" s="87"/>
      <c r="L124" s="86"/>
      <c r="M124" s="86"/>
      <c r="N124" s="87"/>
      <c r="O124" s="86"/>
      <c r="P124" s="86"/>
      <c r="Q124" s="87"/>
    </row>
    <row r="125" spans="1:17" ht="45" customHeight="1">
      <c r="A125" s="81">
        <v>18</v>
      </c>
      <c r="B125" s="82"/>
      <c r="C125" s="83" t="s">
        <v>97</v>
      </c>
      <c r="D125" s="83" t="s">
        <v>48</v>
      </c>
      <c r="E125" s="84" t="s">
        <v>98</v>
      </c>
      <c r="F125" s="85"/>
      <c r="G125" s="85"/>
      <c r="H125" s="88"/>
      <c r="I125" s="86"/>
      <c r="J125" s="86"/>
      <c r="K125" s="87"/>
      <c r="L125" s="86"/>
      <c r="M125" s="86"/>
      <c r="N125" s="87"/>
      <c r="O125" s="86"/>
      <c r="P125" s="86"/>
      <c r="Q125" s="87"/>
    </row>
    <row r="126" spans="1:17" ht="14.45" customHeight="1">
      <c r="A126" s="81">
        <v>18</v>
      </c>
      <c r="B126" s="82"/>
      <c r="C126" s="83" t="s">
        <v>97</v>
      </c>
      <c r="D126" s="83" t="s">
        <v>48</v>
      </c>
      <c r="E126" s="84" t="s">
        <v>98</v>
      </c>
      <c r="F126" s="89">
        <v>1386</v>
      </c>
      <c r="G126" s="89">
        <v>55</v>
      </c>
      <c r="H126" s="88"/>
      <c r="I126" s="86"/>
      <c r="J126" s="86"/>
      <c r="K126" s="87"/>
      <c r="L126" s="86"/>
      <c r="M126" s="86"/>
      <c r="N126" s="87"/>
      <c r="O126" s="86"/>
      <c r="P126" s="86"/>
      <c r="Q126" s="87"/>
    </row>
    <row r="127" spans="1:17" ht="24" customHeight="1">
      <c r="A127" s="91">
        <v>18</v>
      </c>
      <c r="B127" s="92"/>
      <c r="C127" s="93" t="s">
        <v>97</v>
      </c>
      <c r="D127" s="93" t="s">
        <v>48</v>
      </c>
      <c r="E127" s="94" t="s">
        <v>98</v>
      </c>
      <c r="F127" s="95" t="s">
        <v>56</v>
      </c>
      <c r="G127" s="96">
        <v>672000</v>
      </c>
      <c r="H127" s="97">
        <v>672000</v>
      </c>
      <c r="I127" s="98"/>
      <c r="J127" s="98"/>
      <c r="K127" s="99"/>
      <c r="L127" s="98"/>
      <c r="M127" s="98"/>
      <c r="N127" s="99"/>
      <c r="O127" s="98"/>
      <c r="P127" s="98"/>
      <c r="Q127" s="99"/>
    </row>
    <row r="128" spans="1:17" ht="14.45" customHeight="1">
      <c r="A128" s="75">
        <v>19</v>
      </c>
      <c r="B128" s="76"/>
      <c r="C128" s="77" t="s">
        <v>100</v>
      </c>
      <c r="D128" s="77" t="s">
        <v>48</v>
      </c>
      <c r="E128" s="78" t="s">
        <v>98</v>
      </c>
      <c r="F128" s="79" t="s">
        <v>50</v>
      </c>
      <c r="G128" s="79" t="s">
        <v>50</v>
      </c>
      <c r="H128" s="80" t="s">
        <v>50</v>
      </c>
      <c r="I128" s="79"/>
      <c r="J128" s="79"/>
      <c r="K128" s="80"/>
      <c r="L128" s="79"/>
      <c r="M128" s="79"/>
      <c r="N128" s="80"/>
      <c r="O128" s="79"/>
      <c r="P128" s="79"/>
      <c r="Q128" s="80"/>
    </row>
    <row r="129" spans="1:17" ht="60" customHeight="1">
      <c r="A129" s="81">
        <v>19</v>
      </c>
      <c r="B129" s="82"/>
      <c r="C129" s="83" t="s">
        <v>100</v>
      </c>
      <c r="D129" s="83" t="s">
        <v>48</v>
      </c>
      <c r="E129" s="84" t="s">
        <v>98</v>
      </c>
      <c r="F129" s="85"/>
      <c r="G129" s="86" t="s">
        <v>101</v>
      </c>
      <c r="H129" s="87" t="s">
        <v>101</v>
      </c>
      <c r="I129" s="86"/>
      <c r="J129" s="86"/>
      <c r="K129" s="87"/>
      <c r="L129" s="86"/>
      <c r="M129" s="86"/>
      <c r="N129" s="87"/>
      <c r="O129" s="86"/>
      <c r="P129" s="86"/>
      <c r="Q129" s="87"/>
    </row>
    <row r="130" spans="1:17" ht="45" customHeight="1">
      <c r="A130" s="81">
        <v>19</v>
      </c>
      <c r="B130" s="82"/>
      <c r="C130" s="83" t="s">
        <v>100</v>
      </c>
      <c r="D130" s="83" t="s">
        <v>48</v>
      </c>
      <c r="E130" s="84" t="s">
        <v>98</v>
      </c>
      <c r="F130" s="85"/>
      <c r="G130" s="85"/>
      <c r="H130" s="88"/>
      <c r="I130" s="86"/>
      <c r="J130" s="86"/>
      <c r="K130" s="87"/>
      <c r="L130" s="86"/>
      <c r="M130" s="86"/>
      <c r="N130" s="87"/>
      <c r="O130" s="86"/>
      <c r="P130" s="86"/>
      <c r="Q130" s="87"/>
    </row>
    <row r="131" spans="1:17" ht="14.45" customHeight="1">
      <c r="A131" s="81">
        <v>19</v>
      </c>
      <c r="B131" s="82"/>
      <c r="C131" s="83" t="s">
        <v>100</v>
      </c>
      <c r="D131" s="83" t="s">
        <v>48</v>
      </c>
      <c r="E131" s="84" t="s">
        <v>98</v>
      </c>
      <c r="F131" s="89">
        <v>608</v>
      </c>
      <c r="G131" s="89">
        <v>1166</v>
      </c>
      <c r="H131" s="90">
        <v>1652</v>
      </c>
      <c r="I131" s="86"/>
      <c r="J131" s="86"/>
      <c r="K131" s="87"/>
      <c r="L131" s="86"/>
      <c r="M131" s="86"/>
      <c r="N131" s="87"/>
      <c r="O131" s="86"/>
      <c r="P131" s="86"/>
      <c r="Q131" s="87"/>
    </row>
    <row r="132" spans="1:17" ht="45" customHeight="1">
      <c r="A132" s="81">
        <v>19</v>
      </c>
      <c r="B132" s="82"/>
      <c r="C132" s="83" t="s">
        <v>100</v>
      </c>
      <c r="D132" s="83" t="s">
        <v>48</v>
      </c>
      <c r="E132" s="84" t="s">
        <v>98</v>
      </c>
      <c r="F132" s="85"/>
      <c r="G132" s="85"/>
      <c r="H132" s="88"/>
      <c r="I132" s="86"/>
      <c r="J132" s="86"/>
      <c r="K132" s="87"/>
      <c r="L132" s="86"/>
      <c r="M132" s="86"/>
      <c r="N132" s="87"/>
      <c r="O132" s="86"/>
      <c r="P132" s="86"/>
      <c r="Q132" s="87"/>
    </row>
    <row r="133" spans="1:17" ht="14.45" customHeight="1">
      <c r="A133" s="81">
        <v>19</v>
      </c>
      <c r="B133" s="82"/>
      <c r="C133" s="83" t="s">
        <v>100</v>
      </c>
      <c r="D133" s="83" t="s">
        <v>48</v>
      </c>
      <c r="E133" s="84" t="s">
        <v>98</v>
      </c>
      <c r="F133" s="89">
        <v>1386</v>
      </c>
      <c r="G133" s="89">
        <v>55</v>
      </c>
      <c r="H133" s="88"/>
      <c r="I133" s="86"/>
      <c r="J133" s="86"/>
      <c r="K133" s="87"/>
      <c r="L133" s="86"/>
      <c r="M133" s="86"/>
      <c r="N133" s="87"/>
      <c r="O133" s="86"/>
      <c r="P133" s="86"/>
      <c r="Q133" s="87"/>
    </row>
    <row r="134" spans="1:17" ht="24" customHeight="1">
      <c r="A134" s="91">
        <v>19</v>
      </c>
      <c r="B134" s="92"/>
      <c r="C134" s="93" t="s">
        <v>100</v>
      </c>
      <c r="D134" s="93" t="s">
        <v>48</v>
      </c>
      <c r="E134" s="94" t="s">
        <v>98</v>
      </c>
      <c r="F134" s="95" t="s">
        <v>56</v>
      </c>
      <c r="G134" s="96">
        <v>672000</v>
      </c>
      <c r="H134" s="97">
        <v>672000</v>
      </c>
      <c r="I134" s="98"/>
      <c r="J134" s="98"/>
      <c r="K134" s="99"/>
      <c r="L134" s="98"/>
      <c r="M134" s="98"/>
      <c r="N134" s="99"/>
      <c r="O134" s="98"/>
      <c r="P134" s="98"/>
      <c r="Q134" s="99"/>
    </row>
    <row r="135" spans="1:17" ht="14.45" customHeight="1">
      <c r="A135" s="75">
        <v>20</v>
      </c>
      <c r="B135" s="76"/>
      <c r="C135" s="77" t="s">
        <v>102</v>
      </c>
      <c r="D135" s="77" t="s">
        <v>48</v>
      </c>
      <c r="E135" s="78" t="s">
        <v>98</v>
      </c>
      <c r="F135" s="79" t="s">
        <v>50</v>
      </c>
      <c r="G135" s="79" t="s">
        <v>50</v>
      </c>
      <c r="H135" s="80" t="s">
        <v>50</v>
      </c>
      <c r="I135" s="79"/>
      <c r="J135" s="79"/>
      <c r="K135" s="80"/>
      <c r="L135" s="79"/>
      <c r="M135" s="79"/>
      <c r="N135" s="80"/>
      <c r="O135" s="79"/>
      <c r="P135" s="79"/>
      <c r="Q135" s="80"/>
    </row>
    <row r="136" spans="1:17" ht="60" customHeight="1">
      <c r="A136" s="81">
        <v>20</v>
      </c>
      <c r="B136" s="82"/>
      <c r="C136" s="83" t="s">
        <v>102</v>
      </c>
      <c r="D136" s="83" t="s">
        <v>48</v>
      </c>
      <c r="E136" s="84" t="s">
        <v>98</v>
      </c>
      <c r="F136" s="85"/>
      <c r="G136" s="86" t="s">
        <v>103</v>
      </c>
      <c r="H136" s="87" t="s">
        <v>103</v>
      </c>
      <c r="I136" s="86"/>
      <c r="J136" s="86"/>
      <c r="K136" s="87"/>
      <c r="L136" s="86"/>
      <c r="M136" s="86"/>
      <c r="N136" s="87"/>
      <c r="O136" s="86"/>
      <c r="P136" s="86"/>
      <c r="Q136" s="87"/>
    </row>
    <row r="137" spans="1:17" ht="45" customHeight="1">
      <c r="A137" s="81">
        <v>20</v>
      </c>
      <c r="B137" s="82"/>
      <c r="C137" s="83" t="s">
        <v>102</v>
      </c>
      <c r="D137" s="83" t="s">
        <v>48</v>
      </c>
      <c r="E137" s="84" t="s">
        <v>98</v>
      </c>
      <c r="F137" s="85"/>
      <c r="G137" s="85"/>
      <c r="H137" s="88"/>
      <c r="I137" s="86"/>
      <c r="J137" s="86"/>
      <c r="K137" s="87"/>
      <c r="L137" s="86"/>
      <c r="M137" s="86"/>
      <c r="N137" s="87"/>
      <c r="O137" s="86"/>
      <c r="P137" s="86"/>
      <c r="Q137" s="87"/>
    </row>
    <row r="138" spans="1:17" ht="14.45" customHeight="1">
      <c r="A138" s="81">
        <v>20</v>
      </c>
      <c r="B138" s="82"/>
      <c r="C138" s="83" t="s">
        <v>102</v>
      </c>
      <c r="D138" s="83" t="s">
        <v>48</v>
      </c>
      <c r="E138" s="84" t="s">
        <v>98</v>
      </c>
      <c r="F138" s="89">
        <v>608</v>
      </c>
      <c r="G138" s="89">
        <v>1166</v>
      </c>
      <c r="H138" s="90">
        <v>1652</v>
      </c>
      <c r="I138" s="86"/>
      <c r="J138" s="86"/>
      <c r="K138" s="87"/>
      <c r="L138" s="86"/>
      <c r="M138" s="86"/>
      <c r="N138" s="87"/>
      <c r="O138" s="86"/>
      <c r="P138" s="86"/>
      <c r="Q138" s="87"/>
    </row>
    <row r="139" spans="1:17" ht="45" customHeight="1">
      <c r="A139" s="81">
        <v>20</v>
      </c>
      <c r="B139" s="82"/>
      <c r="C139" s="83" t="s">
        <v>102</v>
      </c>
      <c r="D139" s="83" t="s">
        <v>48</v>
      </c>
      <c r="E139" s="84" t="s">
        <v>98</v>
      </c>
      <c r="F139" s="85"/>
      <c r="G139" s="85"/>
      <c r="H139" s="88"/>
      <c r="I139" s="86"/>
      <c r="J139" s="86"/>
      <c r="K139" s="87"/>
      <c r="L139" s="86"/>
      <c r="M139" s="86"/>
      <c r="N139" s="87"/>
      <c r="O139" s="86"/>
      <c r="P139" s="86"/>
      <c r="Q139" s="87"/>
    </row>
    <row r="140" spans="1:17" ht="14.45" customHeight="1">
      <c r="A140" s="81">
        <v>20</v>
      </c>
      <c r="B140" s="82"/>
      <c r="C140" s="83" t="s">
        <v>102</v>
      </c>
      <c r="D140" s="83" t="s">
        <v>48</v>
      </c>
      <c r="E140" s="84" t="s">
        <v>98</v>
      </c>
      <c r="F140" s="89">
        <v>1386</v>
      </c>
      <c r="G140" s="89">
        <v>55</v>
      </c>
      <c r="H140" s="88"/>
      <c r="I140" s="86"/>
      <c r="J140" s="86"/>
      <c r="K140" s="87"/>
      <c r="L140" s="86"/>
      <c r="M140" s="86"/>
      <c r="N140" s="87"/>
      <c r="O140" s="86"/>
      <c r="P140" s="86"/>
      <c r="Q140" s="87"/>
    </row>
    <row r="141" spans="1:17" ht="24" customHeight="1">
      <c r="A141" s="91">
        <v>20</v>
      </c>
      <c r="B141" s="92"/>
      <c r="C141" s="93" t="s">
        <v>102</v>
      </c>
      <c r="D141" s="93" t="s">
        <v>48</v>
      </c>
      <c r="E141" s="94" t="s">
        <v>98</v>
      </c>
      <c r="F141" s="95" t="s">
        <v>56</v>
      </c>
      <c r="G141" s="96">
        <v>672000</v>
      </c>
      <c r="H141" s="97">
        <v>672000</v>
      </c>
      <c r="I141" s="98"/>
      <c r="J141" s="98"/>
      <c r="K141" s="99"/>
      <c r="L141" s="98"/>
      <c r="M141" s="98"/>
      <c r="N141" s="99"/>
      <c r="O141" s="98"/>
      <c r="P141" s="98"/>
      <c r="Q141" s="99"/>
    </row>
    <row r="142" spans="1:17" ht="14.45" customHeight="1">
      <c r="A142" s="75">
        <v>21</v>
      </c>
      <c r="B142" s="76"/>
      <c r="C142" s="77" t="s">
        <v>104</v>
      </c>
      <c r="D142" s="77" t="s">
        <v>48</v>
      </c>
      <c r="E142" s="78" t="s">
        <v>98</v>
      </c>
      <c r="F142" s="79" t="s">
        <v>50</v>
      </c>
      <c r="G142" s="79" t="s">
        <v>50</v>
      </c>
      <c r="H142" s="80" t="s">
        <v>50</v>
      </c>
      <c r="I142" s="79"/>
      <c r="J142" s="79"/>
      <c r="K142" s="80"/>
      <c r="L142" s="79"/>
      <c r="M142" s="79"/>
      <c r="N142" s="80"/>
      <c r="O142" s="79"/>
      <c r="P142" s="79"/>
      <c r="Q142" s="80"/>
    </row>
    <row r="143" spans="1:17" ht="60" customHeight="1">
      <c r="A143" s="81">
        <v>21</v>
      </c>
      <c r="B143" s="82"/>
      <c r="C143" s="83" t="s">
        <v>104</v>
      </c>
      <c r="D143" s="83" t="s">
        <v>48</v>
      </c>
      <c r="E143" s="84" t="s">
        <v>98</v>
      </c>
      <c r="F143" s="85"/>
      <c r="G143" s="86" t="s">
        <v>105</v>
      </c>
      <c r="H143" s="87" t="s">
        <v>105</v>
      </c>
      <c r="I143" s="86"/>
      <c r="J143" s="86"/>
      <c r="K143" s="87"/>
      <c r="L143" s="86"/>
      <c r="M143" s="86"/>
      <c r="N143" s="87"/>
      <c r="O143" s="86"/>
      <c r="P143" s="86"/>
      <c r="Q143" s="87"/>
    </row>
    <row r="144" spans="1:17" ht="45" customHeight="1">
      <c r="A144" s="81">
        <v>21</v>
      </c>
      <c r="B144" s="82"/>
      <c r="C144" s="83" t="s">
        <v>104</v>
      </c>
      <c r="D144" s="83" t="s">
        <v>48</v>
      </c>
      <c r="E144" s="84" t="s">
        <v>98</v>
      </c>
      <c r="F144" s="85"/>
      <c r="G144" s="85"/>
      <c r="H144" s="88"/>
      <c r="I144" s="86"/>
      <c r="J144" s="86"/>
      <c r="K144" s="87"/>
      <c r="L144" s="86"/>
      <c r="M144" s="86"/>
      <c r="N144" s="87"/>
      <c r="O144" s="86"/>
      <c r="P144" s="86"/>
      <c r="Q144" s="87"/>
    </row>
    <row r="145" spans="1:17" ht="14.45" customHeight="1">
      <c r="A145" s="81">
        <v>21</v>
      </c>
      <c r="B145" s="82"/>
      <c r="C145" s="83" t="s">
        <v>104</v>
      </c>
      <c r="D145" s="83" t="s">
        <v>48</v>
      </c>
      <c r="E145" s="84" t="s">
        <v>98</v>
      </c>
      <c r="F145" s="89">
        <v>608</v>
      </c>
      <c r="G145" s="89">
        <v>1749</v>
      </c>
      <c r="H145" s="90">
        <v>1652</v>
      </c>
      <c r="I145" s="86"/>
      <c r="J145" s="86"/>
      <c r="K145" s="87"/>
      <c r="L145" s="86"/>
      <c r="M145" s="86"/>
      <c r="N145" s="87"/>
      <c r="O145" s="86"/>
      <c r="P145" s="86"/>
      <c r="Q145" s="87"/>
    </row>
    <row r="146" spans="1:17" ht="45" customHeight="1">
      <c r="A146" s="81">
        <v>21</v>
      </c>
      <c r="B146" s="82"/>
      <c r="C146" s="83" t="s">
        <v>104</v>
      </c>
      <c r="D146" s="83" t="s">
        <v>48</v>
      </c>
      <c r="E146" s="84" t="s">
        <v>98</v>
      </c>
      <c r="F146" s="85"/>
      <c r="G146" s="85"/>
      <c r="H146" s="88"/>
      <c r="I146" s="86"/>
      <c r="J146" s="86"/>
      <c r="K146" s="87"/>
      <c r="L146" s="86"/>
      <c r="M146" s="86"/>
      <c r="N146" s="87"/>
      <c r="O146" s="86"/>
      <c r="P146" s="86"/>
      <c r="Q146" s="87"/>
    </row>
    <row r="147" spans="1:17" ht="14.45" customHeight="1">
      <c r="A147" s="81">
        <v>21</v>
      </c>
      <c r="B147" s="82"/>
      <c r="C147" s="83" t="s">
        <v>104</v>
      </c>
      <c r="D147" s="83" t="s">
        <v>48</v>
      </c>
      <c r="E147" s="84" t="s">
        <v>98</v>
      </c>
      <c r="F147" s="89">
        <v>924</v>
      </c>
      <c r="G147" s="89">
        <v>55</v>
      </c>
      <c r="H147" s="88"/>
      <c r="I147" s="86"/>
      <c r="J147" s="86"/>
      <c r="K147" s="87"/>
      <c r="L147" s="86"/>
      <c r="M147" s="86"/>
      <c r="N147" s="87"/>
      <c r="O147" s="86"/>
      <c r="P147" s="86"/>
      <c r="Q147" s="87"/>
    </row>
    <row r="148" spans="1:17" ht="24" customHeight="1">
      <c r="A148" s="91">
        <v>21</v>
      </c>
      <c r="B148" s="92"/>
      <c r="C148" s="93" t="s">
        <v>104</v>
      </c>
      <c r="D148" s="93" t="s">
        <v>48</v>
      </c>
      <c r="E148" s="94" t="s">
        <v>98</v>
      </c>
      <c r="F148" s="95" t="s">
        <v>56</v>
      </c>
      <c r="G148" s="96">
        <v>672000</v>
      </c>
      <c r="H148" s="97">
        <v>672000</v>
      </c>
      <c r="I148" s="98"/>
      <c r="J148" s="98"/>
      <c r="K148" s="99"/>
      <c r="L148" s="98"/>
      <c r="M148" s="98"/>
      <c r="N148" s="99"/>
      <c r="O148" s="98"/>
      <c r="P148" s="98"/>
      <c r="Q148" s="99"/>
    </row>
    <row r="149" spans="1:17" ht="14.45" customHeight="1">
      <c r="A149" s="75">
        <v>22</v>
      </c>
      <c r="B149" s="76"/>
      <c r="C149" s="77" t="s">
        <v>106</v>
      </c>
      <c r="D149" s="77" t="s">
        <v>48</v>
      </c>
      <c r="E149" s="78" t="s">
        <v>49</v>
      </c>
      <c r="F149" s="79" t="s">
        <v>50</v>
      </c>
      <c r="G149" s="79" t="s">
        <v>50</v>
      </c>
      <c r="H149" s="80" t="s">
        <v>50</v>
      </c>
      <c r="I149" s="79"/>
      <c r="J149" s="79"/>
      <c r="K149" s="80"/>
      <c r="L149" s="79"/>
      <c r="M149" s="79"/>
      <c r="N149" s="80"/>
      <c r="O149" s="79"/>
      <c r="P149" s="79"/>
      <c r="Q149" s="80"/>
    </row>
    <row r="150" spans="1:17" ht="60" customHeight="1">
      <c r="A150" s="81">
        <v>22</v>
      </c>
      <c r="B150" s="82"/>
      <c r="C150" s="83" t="s">
        <v>106</v>
      </c>
      <c r="D150" s="83" t="s">
        <v>48</v>
      </c>
      <c r="E150" s="84" t="s">
        <v>49</v>
      </c>
      <c r="F150" s="85"/>
      <c r="G150" s="86" t="s">
        <v>107</v>
      </c>
      <c r="H150" s="87" t="s">
        <v>107</v>
      </c>
      <c r="I150" s="86"/>
      <c r="J150" s="86"/>
      <c r="K150" s="87"/>
      <c r="L150" s="86"/>
      <c r="M150" s="86"/>
      <c r="N150" s="87"/>
      <c r="O150" s="86"/>
      <c r="P150" s="86"/>
      <c r="Q150" s="87"/>
    </row>
    <row r="151" spans="1:17" ht="45" customHeight="1">
      <c r="A151" s="81">
        <v>22</v>
      </c>
      <c r="B151" s="82"/>
      <c r="C151" s="83" t="s">
        <v>106</v>
      </c>
      <c r="D151" s="83" t="s">
        <v>48</v>
      </c>
      <c r="E151" s="84" t="s">
        <v>49</v>
      </c>
      <c r="F151" s="85"/>
      <c r="G151" s="85"/>
      <c r="H151" s="88"/>
      <c r="I151" s="86"/>
      <c r="J151" s="86"/>
      <c r="K151" s="87"/>
      <c r="L151" s="86"/>
      <c r="M151" s="86"/>
      <c r="N151" s="87"/>
      <c r="O151" s="86"/>
      <c r="P151" s="86"/>
      <c r="Q151" s="87"/>
    </row>
    <row r="152" spans="1:17" ht="14.45" customHeight="1">
      <c r="A152" s="81">
        <v>22</v>
      </c>
      <c r="B152" s="82"/>
      <c r="C152" s="83" t="s">
        <v>106</v>
      </c>
      <c r="D152" s="83" t="s">
        <v>48</v>
      </c>
      <c r="E152" s="84" t="s">
        <v>49</v>
      </c>
      <c r="F152" s="89">
        <v>2043</v>
      </c>
      <c r="G152" s="89">
        <v>2114</v>
      </c>
      <c r="H152" s="90">
        <v>382</v>
      </c>
      <c r="I152" s="86"/>
      <c r="J152" s="86"/>
      <c r="K152" s="87"/>
      <c r="L152" s="86"/>
      <c r="M152" s="86"/>
      <c r="N152" s="87"/>
      <c r="O152" s="86"/>
      <c r="P152" s="86"/>
      <c r="Q152" s="87"/>
    </row>
    <row r="153" spans="1:17" ht="45" customHeight="1">
      <c r="A153" s="81">
        <v>22</v>
      </c>
      <c r="B153" s="82"/>
      <c r="C153" s="83" t="s">
        <v>106</v>
      </c>
      <c r="D153" s="83" t="s">
        <v>48</v>
      </c>
      <c r="E153" s="84" t="s">
        <v>49</v>
      </c>
      <c r="F153" s="85"/>
      <c r="G153" s="85"/>
      <c r="H153" s="88"/>
      <c r="I153" s="86"/>
      <c r="J153" s="86"/>
      <c r="K153" s="87"/>
      <c r="L153" s="86"/>
      <c r="M153" s="86"/>
      <c r="N153" s="87"/>
      <c r="O153" s="86"/>
      <c r="P153" s="86"/>
      <c r="Q153" s="87"/>
    </row>
    <row r="154" spans="1:17" ht="14.45" customHeight="1">
      <c r="A154" s="81">
        <v>22</v>
      </c>
      <c r="B154" s="82"/>
      <c r="C154" s="83" t="s">
        <v>106</v>
      </c>
      <c r="D154" s="83" t="s">
        <v>48</v>
      </c>
      <c r="E154" s="84" t="s">
        <v>49</v>
      </c>
      <c r="F154" s="89">
        <v>68</v>
      </c>
      <c r="G154" s="89">
        <v>31</v>
      </c>
      <c r="H154" s="90">
        <v>55</v>
      </c>
      <c r="I154" s="86"/>
      <c r="J154" s="86"/>
      <c r="K154" s="87"/>
      <c r="L154" s="86"/>
      <c r="M154" s="86"/>
      <c r="N154" s="87"/>
      <c r="O154" s="86"/>
      <c r="P154" s="86"/>
      <c r="Q154" s="87"/>
    </row>
    <row r="155" spans="1:17" ht="24" customHeight="1">
      <c r="A155" s="91">
        <v>22</v>
      </c>
      <c r="B155" s="92"/>
      <c r="C155" s="93" t="s">
        <v>106</v>
      </c>
      <c r="D155" s="93" t="s">
        <v>48</v>
      </c>
      <c r="E155" s="94" t="s">
        <v>49</v>
      </c>
      <c r="F155" s="95" t="s">
        <v>56</v>
      </c>
      <c r="G155" s="96">
        <v>2010000</v>
      </c>
      <c r="H155" s="97">
        <v>2010000</v>
      </c>
      <c r="I155" s="98"/>
      <c r="J155" s="98"/>
      <c r="K155" s="99"/>
      <c r="L155" s="98"/>
      <c r="M155" s="98"/>
      <c r="N155" s="99"/>
      <c r="O155" s="98"/>
      <c r="P155" s="98"/>
      <c r="Q155" s="99"/>
    </row>
    <row r="156" spans="1:17" ht="14.45" customHeight="1">
      <c r="A156" s="75">
        <v>23</v>
      </c>
      <c r="B156" s="76"/>
      <c r="C156" s="77" t="s">
        <v>108</v>
      </c>
      <c r="D156" s="77" t="s">
        <v>48</v>
      </c>
      <c r="E156" s="78" t="s">
        <v>109</v>
      </c>
      <c r="F156" s="79" t="s">
        <v>50</v>
      </c>
      <c r="G156" s="79" t="s">
        <v>50</v>
      </c>
      <c r="H156" s="80" t="s">
        <v>50</v>
      </c>
      <c r="I156" s="79"/>
      <c r="J156" s="79"/>
      <c r="K156" s="80"/>
      <c r="L156" s="79"/>
      <c r="M156" s="79"/>
      <c r="N156" s="80"/>
      <c r="O156" s="79"/>
      <c r="P156" s="79"/>
      <c r="Q156" s="80"/>
    </row>
    <row r="157" spans="1:17" ht="60" customHeight="1">
      <c r="A157" s="81">
        <v>23</v>
      </c>
      <c r="B157" s="82"/>
      <c r="C157" s="83" t="s">
        <v>108</v>
      </c>
      <c r="D157" s="83" t="s">
        <v>48</v>
      </c>
      <c r="E157" s="84" t="s">
        <v>109</v>
      </c>
      <c r="F157" s="85"/>
      <c r="G157" s="86"/>
      <c r="H157" s="87"/>
      <c r="I157" s="86"/>
      <c r="J157" s="86"/>
      <c r="K157" s="87"/>
      <c r="L157" s="86"/>
      <c r="M157" s="86"/>
      <c r="N157" s="87"/>
      <c r="O157" s="86"/>
      <c r="P157" s="86"/>
      <c r="Q157" s="87"/>
    </row>
    <row r="158" spans="1:17" ht="45" customHeight="1">
      <c r="A158" s="81">
        <v>23</v>
      </c>
      <c r="B158" s="82"/>
      <c r="C158" s="83" t="s">
        <v>108</v>
      </c>
      <c r="D158" s="83" t="s">
        <v>48</v>
      </c>
      <c r="E158" s="84" t="s">
        <v>109</v>
      </c>
      <c r="F158" s="85"/>
      <c r="G158" s="85"/>
      <c r="H158" s="88"/>
      <c r="I158" s="86"/>
      <c r="J158" s="86"/>
      <c r="K158" s="87"/>
      <c r="L158" s="86"/>
      <c r="M158" s="86"/>
      <c r="N158" s="87"/>
      <c r="O158" s="86"/>
      <c r="P158" s="86"/>
      <c r="Q158" s="87"/>
    </row>
    <row r="159" spans="1:17" ht="14.45" customHeight="1">
      <c r="A159" s="81">
        <v>23</v>
      </c>
      <c r="B159" s="82"/>
      <c r="C159" s="83" t="s">
        <v>108</v>
      </c>
      <c r="D159" s="83" t="s">
        <v>48</v>
      </c>
      <c r="E159" s="84" t="s">
        <v>109</v>
      </c>
      <c r="F159" s="89">
        <v>350</v>
      </c>
      <c r="G159" s="89">
        <v>450</v>
      </c>
      <c r="H159" s="90">
        <v>960</v>
      </c>
      <c r="I159" s="86"/>
      <c r="J159" s="86"/>
      <c r="K159" s="87"/>
      <c r="L159" s="86"/>
      <c r="M159" s="86"/>
      <c r="N159" s="87"/>
      <c r="O159" s="86"/>
      <c r="P159" s="86"/>
      <c r="Q159" s="87"/>
    </row>
    <row r="160" spans="1:17" ht="45" customHeight="1">
      <c r="A160" s="81">
        <v>23</v>
      </c>
      <c r="B160" s="82"/>
      <c r="C160" s="83" t="s">
        <v>108</v>
      </c>
      <c r="D160" s="83" t="s">
        <v>48</v>
      </c>
      <c r="E160" s="84" t="s">
        <v>109</v>
      </c>
      <c r="F160" s="85"/>
      <c r="G160" s="85"/>
      <c r="H160" s="88"/>
      <c r="I160" s="86"/>
      <c r="J160" s="86"/>
      <c r="K160" s="87"/>
      <c r="L160" s="86"/>
      <c r="M160" s="86"/>
      <c r="N160" s="87"/>
      <c r="O160" s="86"/>
      <c r="P160" s="86"/>
      <c r="Q160" s="87"/>
    </row>
    <row r="161" spans="1:17" ht="14.45" customHeight="1">
      <c r="A161" s="81">
        <v>23</v>
      </c>
      <c r="B161" s="82"/>
      <c r="C161" s="83" t="s">
        <v>108</v>
      </c>
      <c r="D161" s="83" t="s">
        <v>48</v>
      </c>
      <c r="E161" s="84" t="s">
        <v>109</v>
      </c>
      <c r="F161" s="89">
        <v>320</v>
      </c>
      <c r="G161" s="89">
        <v>1040</v>
      </c>
      <c r="H161" s="90">
        <v>30</v>
      </c>
      <c r="I161" s="86"/>
      <c r="J161" s="86"/>
      <c r="K161" s="87"/>
      <c r="L161" s="86"/>
      <c r="M161" s="86"/>
      <c r="N161" s="87"/>
      <c r="O161" s="86"/>
      <c r="P161" s="86"/>
      <c r="Q161" s="87"/>
    </row>
    <row r="162" spans="1:17" ht="24" customHeight="1">
      <c r="A162" s="91">
        <v>23</v>
      </c>
      <c r="B162" s="92"/>
      <c r="C162" s="93" t="s">
        <v>108</v>
      </c>
      <c r="D162" s="93" t="s">
        <v>48</v>
      </c>
      <c r="E162" s="94" t="s">
        <v>109</v>
      </c>
      <c r="F162" s="95" t="s">
        <v>56</v>
      </c>
      <c r="G162" s="96">
        <v>930000</v>
      </c>
      <c r="H162" s="97">
        <v>930000</v>
      </c>
      <c r="I162" s="98"/>
      <c r="J162" s="98"/>
      <c r="K162" s="99"/>
      <c r="L162" s="98"/>
      <c r="M162" s="98"/>
      <c r="N162" s="99"/>
      <c r="O162" s="98"/>
      <c r="P162" s="98"/>
      <c r="Q162" s="99"/>
    </row>
    <row r="163" spans="1:17" ht="14.45" customHeight="1">
      <c r="A163" s="75">
        <v>24</v>
      </c>
      <c r="B163" s="76"/>
      <c r="C163" s="77" t="s">
        <v>110</v>
      </c>
      <c r="D163" s="77" t="s">
        <v>48</v>
      </c>
      <c r="E163" s="78" t="s">
        <v>109</v>
      </c>
      <c r="F163" s="79" t="s">
        <v>50</v>
      </c>
      <c r="G163" s="79" t="s">
        <v>50</v>
      </c>
      <c r="H163" s="80" t="s">
        <v>50</v>
      </c>
      <c r="I163" s="79"/>
      <c r="J163" s="79"/>
      <c r="K163" s="80"/>
      <c r="L163" s="79"/>
      <c r="M163" s="79"/>
      <c r="N163" s="80"/>
      <c r="O163" s="79"/>
      <c r="P163" s="79"/>
      <c r="Q163" s="80"/>
    </row>
    <row r="164" spans="1:17" ht="60" customHeight="1">
      <c r="A164" s="81">
        <v>24</v>
      </c>
      <c r="B164" s="82"/>
      <c r="C164" s="83" t="s">
        <v>110</v>
      </c>
      <c r="D164" s="83" t="s">
        <v>48</v>
      </c>
      <c r="E164" s="84" t="s">
        <v>109</v>
      </c>
      <c r="F164" s="85"/>
      <c r="G164" s="86"/>
      <c r="H164" s="87"/>
      <c r="I164" s="86"/>
      <c r="J164" s="86"/>
      <c r="K164" s="87"/>
      <c r="L164" s="86"/>
      <c r="M164" s="86"/>
      <c r="N164" s="87"/>
      <c r="O164" s="86"/>
      <c r="P164" s="86"/>
      <c r="Q164" s="87"/>
    </row>
    <row r="165" spans="1:17" ht="45" customHeight="1">
      <c r="A165" s="81">
        <v>24</v>
      </c>
      <c r="B165" s="82"/>
      <c r="C165" s="83" t="s">
        <v>110</v>
      </c>
      <c r="D165" s="83" t="s">
        <v>48</v>
      </c>
      <c r="E165" s="84" t="s">
        <v>109</v>
      </c>
      <c r="F165" s="85"/>
      <c r="G165" s="85"/>
      <c r="H165" s="88"/>
      <c r="I165" s="86"/>
      <c r="J165" s="86"/>
      <c r="K165" s="87"/>
      <c r="L165" s="86"/>
      <c r="M165" s="86"/>
      <c r="N165" s="87"/>
      <c r="O165" s="86"/>
      <c r="P165" s="86"/>
      <c r="Q165" s="87"/>
    </row>
    <row r="166" spans="1:17" ht="14.45" customHeight="1">
      <c r="A166" s="81">
        <v>24</v>
      </c>
      <c r="B166" s="82"/>
      <c r="C166" s="83" t="s">
        <v>110</v>
      </c>
      <c r="D166" s="83" t="s">
        <v>48</v>
      </c>
      <c r="E166" s="84" t="s">
        <v>109</v>
      </c>
      <c r="F166" s="89">
        <v>350</v>
      </c>
      <c r="G166" s="89">
        <v>450</v>
      </c>
      <c r="H166" s="90">
        <v>960</v>
      </c>
      <c r="I166" s="86"/>
      <c r="J166" s="86"/>
      <c r="K166" s="87"/>
      <c r="L166" s="86"/>
      <c r="M166" s="86"/>
      <c r="N166" s="87"/>
      <c r="O166" s="86"/>
      <c r="P166" s="86"/>
      <c r="Q166" s="87"/>
    </row>
    <row r="167" spans="1:17" ht="45" customHeight="1">
      <c r="A167" s="81">
        <v>24</v>
      </c>
      <c r="B167" s="82"/>
      <c r="C167" s="83" t="s">
        <v>110</v>
      </c>
      <c r="D167" s="83" t="s">
        <v>48</v>
      </c>
      <c r="E167" s="84" t="s">
        <v>109</v>
      </c>
      <c r="F167" s="85"/>
      <c r="G167" s="85"/>
      <c r="H167" s="88"/>
      <c r="I167" s="86"/>
      <c r="J167" s="86"/>
      <c r="K167" s="87"/>
      <c r="L167" s="86"/>
      <c r="M167" s="86"/>
      <c r="N167" s="87"/>
      <c r="O167" s="86"/>
      <c r="P167" s="86"/>
      <c r="Q167" s="87"/>
    </row>
    <row r="168" spans="1:17" ht="14.45" customHeight="1">
      <c r="A168" s="81">
        <v>24</v>
      </c>
      <c r="B168" s="82"/>
      <c r="C168" s="83" t="s">
        <v>110</v>
      </c>
      <c r="D168" s="83" t="s">
        <v>48</v>
      </c>
      <c r="E168" s="84" t="s">
        <v>109</v>
      </c>
      <c r="F168" s="89">
        <v>320</v>
      </c>
      <c r="G168" s="89">
        <v>1040</v>
      </c>
      <c r="H168" s="90">
        <v>30</v>
      </c>
      <c r="I168" s="86"/>
      <c r="J168" s="86"/>
      <c r="K168" s="87"/>
      <c r="L168" s="86"/>
      <c r="M168" s="86"/>
      <c r="N168" s="87"/>
      <c r="O168" s="86"/>
      <c r="P168" s="86"/>
      <c r="Q168" s="87"/>
    </row>
    <row r="169" spans="1:17" ht="24" customHeight="1">
      <c r="A169" s="91">
        <v>24</v>
      </c>
      <c r="B169" s="92"/>
      <c r="C169" s="93" t="s">
        <v>110</v>
      </c>
      <c r="D169" s="93" t="s">
        <v>48</v>
      </c>
      <c r="E169" s="94" t="s">
        <v>109</v>
      </c>
      <c r="F169" s="95" t="s">
        <v>56</v>
      </c>
      <c r="G169" s="96">
        <v>930000</v>
      </c>
      <c r="H169" s="97">
        <v>930000</v>
      </c>
      <c r="I169" s="98"/>
      <c r="J169" s="98"/>
      <c r="K169" s="99"/>
      <c r="L169" s="98"/>
      <c r="M169" s="98"/>
      <c r="N169" s="99"/>
      <c r="O169" s="98"/>
      <c r="P169" s="98"/>
      <c r="Q169" s="99"/>
    </row>
    <row r="170" spans="1:17" ht="14.45" customHeight="1">
      <c r="A170" s="75">
        <v>25</v>
      </c>
      <c r="B170" s="76"/>
      <c r="C170" s="77" t="s">
        <v>111</v>
      </c>
      <c r="D170" s="77" t="s">
        <v>48</v>
      </c>
      <c r="E170" s="78" t="s">
        <v>69</v>
      </c>
      <c r="F170" s="79" t="s">
        <v>50</v>
      </c>
      <c r="G170" s="79" t="s">
        <v>50</v>
      </c>
      <c r="H170" s="80" t="s">
        <v>50</v>
      </c>
      <c r="I170" s="79"/>
      <c r="J170" s="79"/>
      <c r="K170" s="80"/>
      <c r="L170" s="79"/>
      <c r="M170" s="79"/>
      <c r="N170" s="80"/>
      <c r="O170" s="79"/>
      <c r="P170" s="79"/>
      <c r="Q170" s="80"/>
    </row>
    <row r="171" spans="1:17" ht="60" customHeight="1">
      <c r="A171" s="81">
        <v>25</v>
      </c>
      <c r="B171" s="82"/>
      <c r="C171" s="83" t="s">
        <v>111</v>
      </c>
      <c r="D171" s="83" t="s">
        <v>48</v>
      </c>
      <c r="E171" s="84" t="s">
        <v>69</v>
      </c>
      <c r="F171" s="85"/>
      <c r="G171" s="86" t="s">
        <v>112</v>
      </c>
      <c r="H171" s="87" t="s">
        <v>112</v>
      </c>
      <c r="I171" s="86"/>
      <c r="J171" s="86"/>
      <c r="K171" s="87"/>
      <c r="L171" s="86"/>
      <c r="M171" s="86"/>
      <c r="N171" s="87"/>
      <c r="O171" s="86"/>
      <c r="P171" s="86"/>
      <c r="Q171" s="87"/>
    </row>
    <row r="172" spans="1:17" ht="45" customHeight="1">
      <c r="A172" s="81">
        <v>25</v>
      </c>
      <c r="B172" s="82"/>
      <c r="C172" s="83" t="s">
        <v>111</v>
      </c>
      <c r="D172" s="83" t="s">
        <v>48</v>
      </c>
      <c r="E172" s="84" t="s">
        <v>69</v>
      </c>
      <c r="F172" s="85"/>
      <c r="G172" s="85"/>
      <c r="H172" s="88"/>
      <c r="I172" s="86"/>
      <c r="J172" s="86"/>
      <c r="K172" s="87"/>
      <c r="L172" s="86"/>
      <c r="M172" s="86"/>
      <c r="N172" s="87"/>
      <c r="O172" s="86"/>
      <c r="P172" s="86"/>
      <c r="Q172" s="87"/>
    </row>
    <row r="173" spans="1:17" ht="14.45" customHeight="1">
      <c r="A173" s="81">
        <v>25</v>
      </c>
      <c r="B173" s="82"/>
      <c r="C173" s="83" t="s">
        <v>111</v>
      </c>
      <c r="D173" s="83" t="s">
        <v>48</v>
      </c>
      <c r="E173" s="84" t="s">
        <v>69</v>
      </c>
      <c r="F173" s="89">
        <v>73</v>
      </c>
      <c r="G173" s="89">
        <v>15</v>
      </c>
      <c r="H173" s="90">
        <v>402</v>
      </c>
      <c r="I173" s="86"/>
      <c r="J173" s="86"/>
      <c r="K173" s="87"/>
      <c r="L173" s="86"/>
      <c r="M173" s="86"/>
      <c r="N173" s="87"/>
      <c r="O173" s="86"/>
      <c r="P173" s="86"/>
      <c r="Q173" s="87"/>
    </row>
    <row r="174" spans="1:17" ht="45" customHeight="1">
      <c r="A174" s="81">
        <v>25</v>
      </c>
      <c r="B174" s="82"/>
      <c r="C174" s="83" t="s">
        <v>111</v>
      </c>
      <c r="D174" s="83" t="s">
        <v>48</v>
      </c>
      <c r="E174" s="84" t="s">
        <v>69</v>
      </c>
      <c r="F174" s="85"/>
      <c r="G174" s="85"/>
      <c r="H174" s="88"/>
      <c r="I174" s="86"/>
      <c r="J174" s="86"/>
      <c r="K174" s="87"/>
      <c r="L174" s="86"/>
      <c r="M174" s="86"/>
      <c r="N174" s="87"/>
      <c r="O174" s="86"/>
      <c r="P174" s="86"/>
      <c r="Q174" s="87"/>
    </row>
    <row r="175" spans="1:17" ht="14.45" customHeight="1">
      <c r="A175" s="81">
        <v>25</v>
      </c>
      <c r="B175" s="82"/>
      <c r="C175" s="83" t="s">
        <v>111</v>
      </c>
      <c r="D175" s="83" t="s">
        <v>48</v>
      </c>
      <c r="E175" s="84" t="s">
        <v>69</v>
      </c>
      <c r="F175" s="89">
        <v>2348</v>
      </c>
      <c r="G175" s="89">
        <v>55</v>
      </c>
      <c r="H175" s="88"/>
      <c r="I175" s="86"/>
      <c r="J175" s="86"/>
      <c r="K175" s="87"/>
      <c r="L175" s="86"/>
      <c r="M175" s="86"/>
      <c r="N175" s="87"/>
      <c r="O175" s="86"/>
      <c r="P175" s="86"/>
      <c r="Q175" s="87"/>
    </row>
    <row r="176" spans="1:17" ht="24" customHeight="1">
      <c r="A176" s="91">
        <v>25</v>
      </c>
      <c r="B176" s="92"/>
      <c r="C176" s="93" t="s">
        <v>111</v>
      </c>
      <c r="D176" s="93" t="s">
        <v>48</v>
      </c>
      <c r="E176" s="94" t="s">
        <v>69</v>
      </c>
      <c r="F176" s="95" t="s">
        <v>56</v>
      </c>
      <c r="G176" s="96">
        <v>1920000</v>
      </c>
      <c r="H176" s="97">
        <v>1920000</v>
      </c>
      <c r="I176" s="98"/>
      <c r="J176" s="98"/>
      <c r="K176" s="99"/>
      <c r="L176" s="98"/>
      <c r="M176" s="98"/>
      <c r="N176" s="99"/>
      <c r="O176" s="98"/>
      <c r="P176" s="98"/>
      <c r="Q176" s="99"/>
    </row>
    <row r="177" spans="1:17" ht="14.45" customHeight="1">
      <c r="A177" s="75">
        <v>26</v>
      </c>
      <c r="B177" s="76"/>
      <c r="C177" s="77" t="s">
        <v>113</v>
      </c>
      <c r="D177" s="77" t="s">
        <v>48</v>
      </c>
      <c r="E177" s="78" t="s">
        <v>109</v>
      </c>
      <c r="F177" s="79" t="s">
        <v>50</v>
      </c>
      <c r="G177" s="79" t="s">
        <v>50</v>
      </c>
      <c r="H177" s="80" t="s">
        <v>50</v>
      </c>
      <c r="I177" s="79"/>
      <c r="J177" s="79"/>
      <c r="K177" s="80"/>
      <c r="L177" s="79"/>
      <c r="M177" s="79"/>
      <c r="N177" s="80"/>
      <c r="O177" s="79"/>
      <c r="P177" s="79"/>
      <c r="Q177" s="80"/>
    </row>
    <row r="178" spans="1:17" ht="60" customHeight="1">
      <c r="A178" s="81">
        <v>26</v>
      </c>
      <c r="B178" s="82"/>
      <c r="C178" s="83" t="s">
        <v>113</v>
      </c>
      <c r="D178" s="83" t="s">
        <v>48</v>
      </c>
      <c r="E178" s="84" t="s">
        <v>109</v>
      </c>
      <c r="F178" s="85"/>
      <c r="G178" s="86" t="s">
        <v>114</v>
      </c>
      <c r="H178" s="87" t="s">
        <v>114</v>
      </c>
      <c r="I178" s="86"/>
      <c r="J178" s="86"/>
      <c r="K178" s="87"/>
      <c r="L178" s="86"/>
      <c r="M178" s="86"/>
      <c r="N178" s="87"/>
      <c r="O178" s="86"/>
      <c r="P178" s="86"/>
      <c r="Q178" s="87"/>
    </row>
    <row r="179" spans="1:17" ht="45" customHeight="1">
      <c r="A179" s="81">
        <v>26</v>
      </c>
      <c r="B179" s="82"/>
      <c r="C179" s="83" t="s">
        <v>113</v>
      </c>
      <c r="D179" s="83" t="s">
        <v>48</v>
      </c>
      <c r="E179" s="84" t="s">
        <v>109</v>
      </c>
      <c r="F179" s="85"/>
      <c r="G179" s="85"/>
      <c r="H179" s="88"/>
      <c r="I179" s="86"/>
      <c r="J179" s="86"/>
      <c r="K179" s="87"/>
      <c r="L179" s="86"/>
      <c r="M179" s="86"/>
      <c r="N179" s="87"/>
      <c r="O179" s="86"/>
      <c r="P179" s="86"/>
      <c r="Q179" s="87"/>
    </row>
    <row r="180" spans="1:17" ht="14.45" customHeight="1">
      <c r="A180" s="81">
        <v>26</v>
      </c>
      <c r="B180" s="82"/>
      <c r="C180" s="83" t="s">
        <v>113</v>
      </c>
      <c r="D180" s="83" t="s">
        <v>48</v>
      </c>
      <c r="E180" s="84" t="s">
        <v>109</v>
      </c>
      <c r="F180" s="89">
        <v>635</v>
      </c>
      <c r="G180" s="89">
        <v>449</v>
      </c>
      <c r="H180" s="90">
        <v>533</v>
      </c>
      <c r="I180" s="86"/>
      <c r="J180" s="86"/>
      <c r="K180" s="87"/>
      <c r="L180" s="86"/>
      <c r="M180" s="86"/>
      <c r="N180" s="87"/>
      <c r="O180" s="86"/>
      <c r="P180" s="86"/>
      <c r="Q180" s="87"/>
    </row>
    <row r="181" spans="1:17" ht="45" customHeight="1">
      <c r="A181" s="81">
        <v>26</v>
      </c>
      <c r="B181" s="82"/>
      <c r="C181" s="83" t="s">
        <v>113</v>
      </c>
      <c r="D181" s="83" t="s">
        <v>48</v>
      </c>
      <c r="E181" s="84" t="s">
        <v>109</v>
      </c>
      <c r="F181" s="85"/>
      <c r="G181" s="85"/>
      <c r="H181" s="88"/>
      <c r="I181" s="86"/>
      <c r="J181" s="86"/>
      <c r="K181" s="87"/>
      <c r="L181" s="86"/>
      <c r="M181" s="86"/>
      <c r="N181" s="87"/>
      <c r="O181" s="86"/>
      <c r="P181" s="86"/>
      <c r="Q181" s="87"/>
    </row>
    <row r="182" spans="1:17" ht="14.45" customHeight="1">
      <c r="A182" s="81">
        <v>26</v>
      </c>
      <c r="B182" s="82"/>
      <c r="C182" s="83" t="s">
        <v>113</v>
      </c>
      <c r="D182" s="83" t="s">
        <v>48</v>
      </c>
      <c r="E182" s="84" t="s">
        <v>109</v>
      </c>
      <c r="F182" s="89">
        <v>234</v>
      </c>
      <c r="G182" s="89">
        <v>30</v>
      </c>
      <c r="H182" s="88"/>
      <c r="I182" s="86"/>
      <c r="J182" s="86"/>
      <c r="K182" s="87"/>
      <c r="L182" s="86"/>
      <c r="M182" s="86"/>
      <c r="N182" s="87"/>
      <c r="O182" s="86"/>
      <c r="P182" s="86"/>
      <c r="Q182" s="87"/>
    </row>
    <row r="183" spans="1:17" ht="24" customHeight="1">
      <c r="A183" s="91">
        <v>26</v>
      </c>
      <c r="B183" s="92"/>
      <c r="C183" s="93" t="s">
        <v>113</v>
      </c>
      <c r="D183" s="93" t="s">
        <v>48</v>
      </c>
      <c r="E183" s="94" t="s">
        <v>109</v>
      </c>
      <c r="F183" s="95" t="s">
        <v>56</v>
      </c>
      <c r="G183" s="96">
        <v>504000</v>
      </c>
      <c r="H183" s="97">
        <v>504000</v>
      </c>
      <c r="I183" s="98"/>
      <c r="J183" s="98"/>
      <c r="K183" s="99"/>
      <c r="L183" s="98"/>
      <c r="M183" s="98"/>
      <c r="N183" s="99"/>
      <c r="O183" s="98"/>
      <c r="P183" s="98"/>
      <c r="Q183" s="99"/>
    </row>
    <row r="184" spans="1:17" ht="14.45" customHeight="1">
      <c r="A184" s="75">
        <v>27</v>
      </c>
      <c r="B184" s="76"/>
      <c r="C184" s="77" t="s">
        <v>115</v>
      </c>
      <c r="D184" s="77" t="s">
        <v>48</v>
      </c>
      <c r="E184" s="78" t="s">
        <v>92</v>
      </c>
      <c r="F184" s="79" t="s">
        <v>50</v>
      </c>
      <c r="G184" s="79" t="s">
        <v>50</v>
      </c>
      <c r="H184" s="80" t="s">
        <v>50</v>
      </c>
      <c r="I184" s="79"/>
      <c r="J184" s="79"/>
      <c r="K184" s="80"/>
      <c r="L184" s="79"/>
      <c r="M184" s="79"/>
      <c r="N184" s="80"/>
      <c r="O184" s="79"/>
      <c r="P184" s="79"/>
      <c r="Q184" s="80"/>
    </row>
    <row r="185" spans="1:17" ht="60" customHeight="1">
      <c r="A185" s="81">
        <v>27</v>
      </c>
      <c r="B185" s="82"/>
      <c r="C185" s="83" t="s">
        <v>115</v>
      </c>
      <c r="D185" s="83" t="s">
        <v>48</v>
      </c>
      <c r="E185" s="84" t="s">
        <v>92</v>
      </c>
      <c r="F185" s="85"/>
      <c r="G185" s="86" t="s">
        <v>116</v>
      </c>
      <c r="H185" s="87" t="s">
        <v>116</v>
      </c>
      <c r="I185" s="86"/>
      <c r="J185" s="86"/>
      <c r="K185" s="87"/>
      <c r="L185" s="86"/>
      <c r="M185" s="86"/>
      <c r="N185" s="87"/>
      <c r="O185" s="86"/>
      <c r="P185" s="86"/>
      <c r="Q185" s="87"/>
    </row>
    <row r="186" spans="1:17" ht="45" customHeight="1">
      <c r="A186" s="81">
        <v>27</v>
      </c>
      <c r="B186" s="82"/>
      <c r="C186" s="83" t="s">
        <v>115</v>
      </c>
      <c r="D186" s="83" t="s">
        <v>48</v>
      </c>
      <c r="E186" s="84" t="s">
        <v>92</v>
      </c>
      <c r="F186" s="85"/>
      <c r="G186" s="85"/>
      <c r="H186" s="88"/>
      <c r="I186" s="86"/>
      <c r="J186" s="86"/>
      <c r="K186" s="87"/>
      <c r="L186" s="86"/>
      <c r="M186" s="86"/>
      <c r="N186" s="87"/>
      <c r="O186" s="86"/>
      <c r="P186" s="86"/>
      <c r="Q186" s="87"/>
    </row>
    <row r="187" spans="1:17" ht="14.45" customHeight="1">
      <c r="A187" s="81">
        <v>27</v>
      </c>
      <c r="B187" s="82"/>
      <c r="C187" s="83" t="s">
        <v>115</v>
      </c>
      <c r="D187" s="83" t="s">
        <v>48</v>
      </c>
      <c r="E187" s="84" t="s">
        <v>92</v>
      </c>
      <c r="F187" s="89">
        <v>1487</v>
      </c>
      <c r="G187" s="89">
        <v>1310</v>
      </c>
      <c r="H187" s="90">
        <v>387</v>
      </c>
      <c r="I187" s="86"/>
      <c r="J187" s="86"/>
      <c r="K187" s="87"/>
      <c r="L187" s="86"/>
      <c r="M187" s="86"/>
      <c r="N187" s="87"/>
      <c r="O187" s="86"/>
      <c r="P187" s="86"/>
      <c r="Q187" s="87"/>
    </row>
    <row r="188" spans="1:17" ht="45" customHeight="1">
      <c r="A188" s="81">
        <v>27</v>
      </c>
      <c r="B188" s="82"/>
      <c r="C188" s="83" t="s">
        <v>115</v>
      </c>
      <c r="D188" s="83" t="s">
        <v>48</v>
      </c>
      <c r="E188" s="84" t="s">
        <v>92</v>
      </c>
      <c r="F188" s="85"/>
      <c r="G188" s="85"/>
      <c r="H188" s="88"/>
      <c r="I188" s="86"/>
      <c r="J188" s="86"/>
      <c r="K188" s="87"/>
      <c r="L188" s="86"/>
      <c r="M188" s="86"/>
      <c r="N188" s="87"/>
      <c r="O188" s="86"/>
      <c r="P188" s="86"/>
      <c r="Q188" s="87"/>
    </row>
    <row r="189" spans="1:17" ht="14.45" customHeight="1">
      <c r="A189" s="81">
        <v>27</v>
      </c>
      <c r="B189" s="82"/>
      <c r="C189" s="83" t="s">
        <v>115</v>
      </c>
      <c r="D189" s="83" t="s">
        <v>48</v>
      </c>
      <c r="E189" s="84" t="s">
        <v>92</v>
      </c>
      <c r="F189" s="89">
        <v>40</v>
      </c>
      <c r="G189" s="89">
        <v>15</v>
      </c>
      <c r="H189" s="90">
        <v>16</v>
      </c>
      <c r="I189" s="86"/>
      <c r="J189" s="86"/>
      <c r="K189" s="87"/>
      <c r="L189" s="86"/>
      <c r="M189" s="86"/>
      <c r="N189" s="87"/>
      <c r="O189" s="86"/>
      <c r="P189" s="86"/>
      <c r="Q189" s="87"/>
    </row>
    <row r="190" spans="1:17" ht="24" customHeight="1">
      <c r="A190" s="91">
        <v>27</v>
      </c>
      <c r="B190" s="92"/>
      <c r="C190" s="93" t="s">
        <v>115</v>
      </c>
      <c r="D190" s="93" t="s">
        <v>48</v>
      </c>
      <c r="E190" s="94" t="s">
        <v>92</v>
      </c>
      <c r="F190" s="95" t="s">
        <v>56</v>
      </c>
      <c r="G190" s="96">
        <v>1370000</v>
      </c>
      <c r="H190" s="97">
        <v>1370000</v>
      </c>
      <c r="I190" s="98"/>
      <c r="J190" s="98"/>
      <c r="K190" s="99"/>
      <c r="L190" s="98"/>
      <c r="M190" s="98"/>
      <c r="N190" s="99"/>
      <c r="O190" s="98"/>
      <c r="P190" s="98"/>
      <c r="Q190" s="99"/>
    </row>
    <row r="191" spans="1:17" ht="14.45" customHeight="1">
      <c r="A191" s="75">
        <v>28</v>
      </c>
      <c r="B191" s="76"/>
      <c r="C191" s="100" t="s">
        <v>58</v>
      </c>
      <c r="D191" s="100" t="s">
        <v>117</v>
      </c>
      <c r="E191" s="78" t="s">
        <v>49</v>
      </c>
      <c r="F191" s="79" t="s">
        <v>50</v>
      </c>
      <c r="G191" s="79" t="s">
        <v>50</v>
      </c>
      <c r="H191" s="80" t="s">
        <v>50</v>
      </c>
      <c r="I191" s="79" t="s">
        <v>51</v>
      </c>
      <c r="J191" s="79" t="s">
        <v>51</v>
      </c>
      <c r="K191" s="80" t="s">
        <v>51</v>
      </c>
      <c r="L191" s="79"/>
      <c r="M191" s="79"/>
      <c r="N191" s="80"/>
      <c r="O191" s="79"/>
      <c r="P191" s="79"/>
      <c r="Q191" s="80"/>
    </row>
    <row r="192" spans="1:17" ht="60" customHeight="1">
      <c r="A192" s="81">
        <v>28</v>
      </c>
      <c r="B192" s="82"/>
      <c r="C192" s="101" t="s">
        <v>58</v>
      </c>
      <c r="D192" s="101" t="s">
        <v>117</v>
      </c>
      <c r="E192" s="84" t="s">
        <v>49</v>
      </c>
      <c r="F192" s="85"/>
      <c r="G192" s="86" t="s">
        <v>118</v>
      </c>
      <c r="H192" s="87" t="s">
        <v>118</v>
      </c>
      <c r="I192" s="85"/>
      <c r="J192" s="86" t="s">
        <v>118</v>
      </c>
      <c r="K192" s="87" t="s">
        <v>118</v>
      </c>
      <c r="L192" s="86"/>
      <c r="M192" s="86"/>
      <c r="N192" s="87"/>
      <c r="O192" s="86"/>
      <c r="P192" s="86"/>
      <c r="Q192" s="87"/>
    </row>
    <row r="193" spans="1:17" ht="45" customHeight="1">
      <c r="A193" s="81">
        <v>28</v>
      </c>
      <c r="B193" s="82"/>
      <c r="C193" s="101" t="s">
        <v>58</v>
      </c>
      <c r="D193" s="101" t="s">
        <v>117</v>
      </c>
      <c r="E193" s="84" t="s">
        <v>49</v>
      </c>
      <c r="F193" s="85"/>
      <c r="G193" s="85"/>
      <c r="H193" s="88"/>
      <c r="I193" s="85"/>
      <c r="J193" s="85"/>
      <c r="K193" s="88"/>
      <c r="L193" s="86"/>
      <c r="M193" s="86"/>
      <c r="N193" s="87"/>
      <c r="O193" s="86"/>
      <c r="P193" s="86"/>
      <c r="Q193" s="87"/>
    </row>
    <row r="194" spans="1:17" ht="14.45" customHeight="1">
      <c r="A194" s="81">
        <v>28</v>
      </c>
      <c r="B194" s="82"/>
      <c r="C194" s="101" t="s">
        <v>58</v>
      </c>
      <c r="D194" s="101" t="s">
        <v>117</v>
      </c>
      <c r="E194" s="84" t="s">
        <v>49</v>
      </c>
      <c r="F194" s="89">
        <v>586</v>
      </c>
      <c r="G194" s="89">
        <v>2373</v>
      </c>
      <c r="H194" s="90">
        <v>621</v>
      </c>
      <c r="I194" s="89">
        <v>1152</v>
      </c>
      <c r="J194" s="89">
        <v>865</v>
      </c>
      <c r="K194" s="90">
        <v>184</v>
      </c>
      <c r="L194" s="86"/>
      <c r="M194" s="86"/>
      <c r="N194" s="87"/>
      <c r="O194" s="86"/>
      <c r="P194" s="86"/>
      <c r="Q194" s="87"/>
    </row>
    <row r="195" spans="1:17" ht="45" customHeight="1">
      <c r="A195" s="81">
        <v>28</v>
      </c>
      <c r="B195" s="82"/>
      <c r="C195" s="101" t="s">
        <v>58</v>
      </c>
      <c r="D195" s="101" t="s">
        <v>117</v>
      </c>
      <c r="E195" s="84" t="s">
        <v>49</v>
      </c>
      <c r="F195" s="85"/>
      <c r="G195" s="85"/>
      <c r="H195" s="88"/>
      <c r="I195" s="85"/>
      <c r="J195" s="85"/>
      <c r="K195" s="88"/>
      <c r="L195" s="86"/>
      <c r="M195" s="86"/>
      <c r="N195" s="87"/>
      <c r="O195" s="86"/>
      <c r="P195" s="86"/>
      <c r="Q195" s="87"/>
    </row>
    <row r="196" spans="1:17" ht="14.45" customHeight="1">
      <c r="A196" s="81">
        <v>28</v>
      </c>
      <c r="B196" s="82"/>
      <c r="C196" s="101" t="s">
        <v>58</v>
      </c>
      <c r="D196" s="101" t="s">
        <v>117</v>
      </c>
      <c r="E196" s="84" t="s">
        <v>49</v>
      </c>
      <c r="F196" s="89">
        <v>584</v>
      </c>
      <c r="G196" s="89">
        <v>486</v>
      </c>
      <c r="H196" s="90">
        <v>10</v>
      </c>
      <c r="I196" s="89">
        <v>33</v>
      </c>
      <c r="J196" s="89">
        <v>14</v>
      </c>
      <c r="K196" s="90">
        <v>10</v>
      </c>
      <c r="L196" s="86"/>
      <c r="M196" s="86"/>
      <c r="N196" s="87"/>
      <c r="O196" s="86"/>
      <c r="P196" s="86"/>
      <c r="Q196" s="87"/>
    </row>
    <row r="197" spans="1:17" ht="24" customHeight="1">
      <c r="A197" s="91">
        <v>28</v>
      </c>
      <c r="B197" s="92"/>
      <c r="C197" s="102" t="s">
        <v>58</v>
      </c>
      <c r="D197" s="102" t="s">
        <v>117</v>
      </c>
      <c r="E197" s="94" t="s">
        <v>49</v>
      </c>
      <c r="F197" s="95" t="s">
        <v>56</v>
      </c>
      <c r="G197" s="96">
        <v>1100000</v>
      </c>
      <c r="H197" s="97">
        <v>1100000</v>
      </c>
      <c r="I197" s="95" t="s">
        <v>56</v>
      </c>
      <c r="J197" s="96">
        <v>958000</v>
      </c>
      <c r="K197" s="97">
        <v>958000</v>
      </c>
      <c r="L197" s="98"/>
      <c r="M197" s="98"/>
      <c r="N197" s="99"/>
      <c r="O197" s="98"/>
      <c r="P197" s="98"/>
      <c r="Q197" s="99"/>
    </row>
    <row r="198" spans="1:17" ht="14.45" customHeight="1">
      <c r="A198" s="75">
        <v>29</v>
      </c>
      <c r="B198" s="76"/>
      <c r="C198" s="100" t="s">
        <v>59</v>
      </c>
      <c r="D198" s="100" t="s">
        <v>117</v>
      </c>
      <c r="E198" s="78" t="s">
        <v>49</v>
      </c>
      <c r="F198" s="79" t="s">
        <v>50</v>
      </c>
      <c r="G198" s="79" t="s">
        <v>50</v>
      </c>
      <c r="H198" s="80" t="s">
        <v>50</v>
      </c>
      <c r="I198" s="79" t="s">
        <v>51</v>
      </c>
      <c r="J198" s="79" t="s">
        <v>51</v>
      </c>
      <c r="K198" s="80" t="s">
        <v>51</v>
      </c>
      <c r="L198" s="79" t="s">
        <v>52</v>
      </c>
      <c r="M198" s="79" t="s">
        <v>52</v>
      </c>
      <c r="N198" s="80" t="s">
        <v>52</v>
      </c>
      <c r="O198" s="79" t="s">
        <v>53</v>
      </c>
      <c r="P198" s="79" t="s">
        <v>53</v>
      </c>
      <c r="Q198" s="80" t="s">
        <v>53</v>
      </c>
    </row>
    <row r="199" spans="1:17" ht="60" customHeight="1">
      <c r="A199" s="81">
        <v>29</v>
      </c>
      <c r="B199" s="82"/>
      <c r="C199" s="101" t="s">
        <v>59</v>
      </c>
      <c r="D199" s="101" t="s">
        <v>117</v>
      </c>
      <c r="E199" s="84" t="s">
        <v>49</v>
      </c>
      <c r="F199" s="85"/>
      <c r="G199" s="86" t="s">
        <v>119</v>
      </c>
      <c r="H199" s="87" t="s">
        <v>119</v>
      </c>
      <c r="I199" s="85"/>
      <c r="J199" s="86" t="s">
        <v>120</v>
      </c>
      <c r="K199" s="87" t="s">
        <v>120</v>
      </c>
      <c r="L199" s="85"/>
      <c r="M199" s="86" t="s">
        <v>119</v>
      </c>
      <c r="N199" s="87" t="s">
        <v>119</v>
      </c>
      <c r="O199" s="85"/>
      <c r="P199" s="86" t="s">
        <v>120</v>
      </c>
      <c r="Q199" s="87" t="s">
        <v>120</v>
      </c>
    </row>
    <row r="200" spans="1:17" ht="45" customHeight="1">
      <c r="A200" s="81">
        <v>29</v>
      </c>
      <c r="B200" s="82"/>
      <c r="C200" s="101" t="s">
        <v>59</v>
      </c>
      <c r="D200" s="101" t="s">
        <v>117</v>
      </c>
      <c r="E200" s="84" t="s">
        <v>49</v>
      </c>
      <c r="F200" s="85"/>
      <c r="G200" s="85"/>
      <c r="H200" s="88"/>
      <c r="I200" s="85"/>
      <c r="J200" s="85"/>
      <c r="K200" s="88"/>
      <c r="L200" s="85"/>
      <c r="M200" s="85"/>
      <c r="N200" s="88"/>
      <c r="O200" s="85"/>
      <c r="P200" s="85"/>
      <c r="Q200" s="88"/>
    </row>
    <row r="201" spans="1:17" ht="14.45" customHeight="1">
      <c r="A201" s="81">
        <v>29</v>
      </c>
      <c r="B201" s="82"/>
      <c r="C201" s="101" t="s">
        <v>59</v>
      </c>
      <c r="D201" s="101" t="s">
        <v>117</v>
      </c>
      <c r="E201" s="84" t="s">
        <v>49</v>
      </c>
      <c r="F201" s="89">
        <v>586</v>
      </c>
      <c r="G201" s="89">
        <v>2373</v>
      </c>
      <c r="H201" s="90">
        <v>621</v>
      </c>
      <c r="I201" s="89">
        <v>586</v>
      </c>
      <c r="J201" s="89">
        <v>2373</v>
      </c>
      <c r="K201" s="90">
        <v>621</v>
      </c>
      <c r="L201" s="89">
        <v>1152</v>
      </c>
      <c r="M201" s="89">
        <v>865</v>
      </c>
      <c r="N201" s="90">
        <v>184</v>
      </c>
      <c r="O201" s="89">
        <v>1152</v>
      </c>
      <c r="P201" s="89">
        <v>865</v>
      </c>
      <c r="Q201" s="90">
        <v>184</v>
      </c>
    </row>
    <row r="202" spans="1:17" ht="45" customHeight="1">
      <c r="A202" s="81">
        <v>29</v>
      </c>
      <c r="B202" s="82"/>
      <c r="C202" s="101" t="s">
        <v>59</v>
      </c>
      <c r="D202" s="101" t="s">
        <v>117</v>
      </c>
      <c r="E202" s="84" t="s">
        <v>49</v>
      </c>
      <c r="F202" s="85"/>
      <c r="G202" s="85"/>
      <c r="H202" s="88"/>
      <c r="I202" s="85"/>
      <c r="J202" s="85"/>
      <c r="K202" s="88"/>
      <c r="L202" s="85"/>
      <c r="M202" s="85"/>
      <c r="N202" s="88"/>
      <c r="O202" s="85"/>
      <c r="P202" s="85"/>
      <c r="Q202" s="88"/>
    </row>
    <row r="203" spans="1:17" ht="14.45" customHeight="1">
      <c r="A203" s="81">
        <v>29</v>
      </c>
      <c r="B203" s="82"/>
      <c r="C203" s="101" t="s">
        <v>59</v>
      </c>
      <c r="D203" s="101" t="s">
        <v>117</v>
      </c>
      <c r="E203" s="84" t="s">
        <v>49</v>
      </c>
      <c r="F203" s="89">
        <v>584</v>
      </c>
      <c r="G203" s="89">
        <v>486</v>
      </c>
      <c r="H203" s="90">
        <v>10</v>
      </c>
      <c r="I203" s="89">
        <v>584</v>
      </c>
      <c r="J203" s="89">
        <v>486</v>
      </c>
      <c r="K203" s="90">
        <v>10</v>
      </c>
      <c r="L203" s="89">
        <v>33</v>
      </c>
      <c r="M203" s="89">
        <v>14</v>
      </c>
      <c r="N203" s="90">
        <v>10</v>
      </c>
      <c r="O203" s="89">
        <v>33</v>
      </c>
      <c r="P203" s="89">
        <v>14</v>
      </c>
      <c r="Q203" s="90">
        <v>10</v>
      </c>
    </row>
    <row r="204" spans="1:17" ht="24" customHeight="1">
      <c r="A204" s="91">
        <v>29</v>
      </c>
      <c r="B204" s="92"/>
      <c r="C204" s="102" t="s">
        <v>59</v>
      </c>
      <c r="D204" s="102" t="s">
        <v>117</v>
      </c>
      <c r="E204" s="94" t="s">
        <v>49</v>
      </c>
      <c r="F204" s="95" t="s">
        <v>56</v>
      </c>
      <c r="G204" s="96">
        <v>1100000</v>
      </c>
      <c r="H204" s="97">
        <v>1100000</v>
      </c>
      <c r="I204" s="95" t="s">
        <v>56</v>
      </c>
      <c r="J204" s="96">
        <v>1100000</v>
      </c>
      <c r="K204" s="97">
        <v>1100000</v>
      </c>
      <c r="L204" s="95" t="s">
        <v>56</v>
      </c>
      <c r="M204" s="96">
        <v>958000</v>
      </c>
      <c r="N204" s="97">
        <v>958000</v>
      </c>
      <c r="O204" s="95" t="s">
        <v>56</v>
      </c>
      <c r="P204" s="96">
        <v>958000</v>
      </c>
      <c r="Q204" s="97">
        <v>958000</v>
      </c>
    </row>
    <row r="205" spans="1:17" ht="14.45" customHeight="1">
      <c r="A205" s="75">
        <v>30</v>
      </c>
      <c r="B205" s="76"/>
      <c r="C205" s="100" t="s">
        <v>55</v>
      </c>
      <c r="D205" s="100" t="s">
        <v>117</v>
      </c>
      <c r="E205" s="78" t="s">
        <v>49</v>
      </c>
      <c r="F205" s="79" t="s">
        <v>50</v>
      </c>
      <c r="G205" s="79" t="s">
        <v>50</v>
      </c>
      <c r="H205" s="80" t="s">
        <v>50</v>
      </c>
      <c r="I205" s="79" t="s">
        <v>51</v>
      </c>
      <c r="J205" s="79" t="s">
        <v>51</v>
      </c>
      <c r="K205" s="80" t="s">
        <v>51</v>
      </c>
      <c r="L205" s="79"/>
      <c r="M205" s="79"/>
      <c r="N205" s="80"/>
      <c r="O205" s="79"/>
      <c r="P205" s="79"/>
      <c r="Q205" s="80"/>
    </row>
    <row r="206" spans="1:17" ht="60" customHeight="1">
      <c r="A206" s="81">
        <v>30</v>
      </c>
      <c r="B206" s="82"/>
      <c r="C206" s="101" t="s">
        <v>55</v>
      </c>
      <c r="D206" s="101" t="s">
        <v>117</v>
      </c>
      <c r="E206" s="84" t="s">
        <v>49</v>
      </c>
      <c r="F206" s="85"/>
      <c r="G206" s="86" t="s">
        <v>121</v>
      </c>
      <c r="H206" s="87" t="s">
        <v>121</v>
      </c>
      <c r="I206" s="85"/>
      <c r="J206" s="86" t="s">
        <v>121</v>
      </c>
      <c r="K206" s="87" t="s">
        <v>121</v>
      </c>
      <c r="L206" s="86"/>
      <c r="M206" s="86"/>
      <c r="N206" s="87"/>
      <c r="O206" s="86"/>
      <c r="P206" s="86"/>
      <c r="Q206" s="87"/>
    </row>
    <row r="207" spans="1:17" ht="45" customHeight="1">
      <c r="A207" s="81">
        <v>30</v>
      </c>
      <c r="B207" s="82"/>
      <c r="C207" s="101" t="s">
        <v>55</v>
      </c>
      <c r="D207" s="101" t="s">
        <v>117</v>
      </c>
      <c r="E207" s="84" t="s">
        <v>49</v>
      </c>
      <c r="F207" s="85"/>
      <c r="G207" s="85"/>
      <c r="H207" s="88"/>
      <c r="I207" s="85"/>
      <c r="J207" s="85"/>
      <c r="K207" s="88"/>
      <c r="L207" s="86"/>
      <c r="M207" s="86"/>
      <c r="N207" s="87"/>
      <c r="O207" s="86"/>
      <c r="P207" s="86"/>
      <c r="Q207" s="87"/>
    </row>
    <row r="208" spans="1:17" ht="14.45" customHeight="1">
      <c r="A208" s="81">
        <v>30</v>
      </c>
      <c r="B208" s="82"/>
      <c r="C208" s="101" t="s">
        <v>55</v>
      </c>
      <c r="D208" s="101" t="s">
        <v>117</v>
      </c>
      <c r="E208" s="84" t="s">
        <v>49</v>
      </c>
      <c r="F208" s="89">
        <v>586</v>
      </c>
      <c r="G208" s="89">
        <v>2373</v>
      </c>
      <c r="H208" s="90">
        <v>621</v>
      </c>
      <c r="I208" s="89">
        <v>1152</v>
      </c>
      <c r="J208" s="89">
        <v>865</v>
      </c>
      <c r="K208" s="90">
        <v>184</v>
      </c>
      <c r="L208" s="86"/>
      <c r="M208" s="86"/>
      <c r="N208" s="87"/>
      <c r="O208" s="86"/>
      <c r="P208" s="86"/>
      <c r="Q208" s="87"/>
    </row>
    <row r="209" spans="1:17" ht="45" customHeight="1">
      <c r="A209" s="81">
        <v>30</v>
      </c>
      <c r="B209" s="82"/>
      <c r="C209" s="101" t="s">
        <v>55</v>
      </c>
      <c r="D209" s="101" t="s">
        <v>117</v>
      </c>
      <c r="E209" s="84" t="s">
        <v>49</v>
      </c>
      <c r="F209" s="85"/>
      <c r="G209" s="85"/>
      <c r="H209" s="88"/>
      <c r="I209" s="85"/>
      <c r="J209" s="85"/>
      <c r="K209" s="88"/>
      <c r="L209" s="86"/>
      <c r="M209" s="86"/>
      <c r="N209" s="87"/>
      <c r="O209" s="86"/>
      <c r="P209" s="86"/>
      <c r="Q209" s="87"/>
    </row>
    <row r="210" spans="1:17" ht="14.45" customHeight="1">
      <c r="A210" s="81">
        <v>30</v>
      </c>
      <c r="B210" s="82"/>
      <c r="C210" s="101" t="s">
        <v>55</v>
      </c>
      <c r="D210" s="101" t="s">
        <v>117</v>
      </c>
      <c r="E210" s="84" t="s">
        <v>49</v>
      </c>
      <c r="F210" s="89">
        <v>584</v>
      </c>
      <c r="G210" s="89">
        <v>486</v>
      </c>
      <c r="H210" s="90">
        <v>10</v>
      </c>
      <c r="I210" s="89">
        <v>33</v>
      </c>
      <c r="J210" s="89">
        <v>14</v>
      </c>
      <c r="K210" s="90">
        <v>10</v>
      </c>
      <c r="L210" s="86"/>
      <c r="M210" s="86"/>
      <c r="N210" s="87"/>
      <c r="O210" s="86"/>
      <c r="P210" s="86"/>
      <c r="Q210" s="87"/>
    </row>
    <row r="211" spans="1:17" ht="24" customHeight="1">
      <c r="A211" s="91">
        <v>30</v>
      </c>
      <c r="B211" s="92"/>
      <c r="C211" s="102" t="s">
        <v>55</v>
      </c>
      <c r="D211" s="102" t="s">
        <v>117</v>
      </c>
      <c r="E211" s="94" t="s">
        <v>49</v>
      </c>
      <c r="F211" s="95" t="s">
        <v>56</v>
      </c>
      <c r="G211" s="96">
        <v>1100000</v>
      </c>
      <c r="H211" s="97">
        <v>1100000</v>
      </c>
      <c r="I211" s="95" t="s">
        <v>56</v>
      </c>
      <c r="J211" s="96">
        <v>958000</v>
      </c>
      <c r="K211" s="97">
        <v>958000</v>
      </c>
      <c r="L211" s="98"/>
      <c r="M211" s="98"/>
      <c r="N211" s="99"/>
      <c r="O211" s="98"/>
      <c r="P211" s="98"/>
      <c r="Q211" s="99"/>
    </row>
    <row r="212" spans="1:17" ht="14.45" customHeight="1">
      <c r="A212" s="75">
        <v>31</v>
      </c>
      <c r="B212" s="76"/>
      <c r="C212" s="100" t="s">
        <v>63</v>
      </c>
      <c r="D212" s="100" t="s">
        <v>117</v>
      </c>
      <c r="E212" s="78" t="s">
        <v>49</v>
      </c>
      <c r="F212" s="79" t="s">
        <v>50</v>
      </c>
      <c r="G212" s="79" t="s">
        <v>50</v>
      </c>
      <c r="H212" s="80" t="s">
        <v>50</v>
      </c>
      <c r="I212" s="79" t="s">
        <v>51</v>
      </c>
      <c r="J212" s="79" t="s">
        <v>51</v>
      </c>
      <c r="K212" s="80" t="s">
        <v>51</v>
      </c>
      <c r="L212" s="79"/>
      <c r="M212" s="79"/>
      <c r="N212" s="80"/>
      <c r="O212" s="79"/>
      <c r="P212" s="79"/>
      <c r="Q212" s="80"/>
    </row>
    <row r="213" spans="1:17" ht="60" customHeight="1">
      <c r="A213" s="81">
        <v>31</v>
      </c>
      <c r="B213" s="82"/>
      <c r="C213" s="101" t="s">
        <v>63</v>
      </c>
      <c r="D213" s="101" t="s">
        <v>117</v>
      </c>
      <c r="E213" s="84" t="s">
        <v>49</v>
      </c>
      <c r="F213" s="85"/>
      <c r="G213" s="86" t="s">
        <v>122</v>
      </c>
      <c r="H213" s="87" t="s">
        <v>122</v>
      </c>
      <c r="I213" s="85"/>
      <c r="J213" s="86" t="s">
        <v>122</v>
      </c>
      <c r="K213" s="87" t="s">
        <v>122</v>
      </c>
      <c r="L213" s="86"/>
      <c r="M213" s="86"/>
      <c r="N213" s="87"/>
      <c r="O213" s="86"/>
      <c r="P213" s="86"/>
      <c r="Q213" s="87"/>
    </row>
    <row r="214" spans="1:17" ht="45" customHeight="1">
      <c r="A214" s="81">
        <v>31</v>
      </c>
      <c r="B214" s="82"/>
      <c r="C214" s="101" t="s">
        <v>63</v>
      </c>
      <c r="D214" s="101" t="s">
        <v>117</v>
      </c>
      <c r="E214" s="84" t="s">
        <v>49</v>
      </c>
      <c r="F214" s="85"/>
      <c r="G214" s="85"/>
      <c r="H214" s="88"/>
      <c r="I214" s="85"/>
      <c r="J214" s="85"/>
      <c r="K214" s="88"/>
      <c r="L214" s="86"/>
      <c r="M214" s="86"/>
      <c r="N214" s="87"/>
      <c r="O214" s="86"/>
      <c r="P214" s="86"/>
      <c r="Q214" s="87"/>
    </row>
    <row r="215" spans="1:17" ht="14.45" customHeight="1">
      <c r="A215" s="81">
        <v>31</v>
      </c>
      <c r="B215" s="82"/>
      <c r="C215" s="101" t="s">
        <v>63</v>
      </c>
      <c r="D215" s="101" t="s">
        <v>117</v>
      </c>
      <c r="E215" s="84" t="s">
        <v>49</v>
      </c>
      <c r="F215" s="89">
        <v>586</v>
      </c>
      <c r="G215" s="89">
        <v>2373</v>
      </c>
      <c r="H215" s="90">
        <v>737</v>
      </c>
      <c r="I215" s="89">
        <v>982</v>
      </c>
      <c r="J215" s="89">
        <v>1015</v>
      </c>
      <c r="K215" s="90">
        <v>184</v>
      </c>
      <c r="L215" s="86"/>
      <c r="M215" s="86"/>
      <c r="N215" s="87"/>
      <c r="O215" s="86"/>
      <c r="P215" s="86"/>
      <c r="Q215" s="87"/>
    </row>
    <row r="216" spans="1:17" ht="45" customHeight="1">
      <c r="A216" s="81">
        <v>31</v>
      </c>
      <c r="B216" s="82"/>
      <c r="C216" s="101" t="s">
        <v>63</v>
      </c>
      <c r="D216" s="101" t="s">
        <v>117</v>
      </c>
      <c r="E216" s="84" t="s">
        <v>49</v>
      </c>
      <c r="F216" s="85"/>
      <c r="G216" s="85"/>
      <c r="H216" s="88"/>
      <c r="I216" s="85"/>
      <c r="J216" s="85"/>
      <c r="K216" s="88"/>
      <c r="L216" s="86"/>
      <c r="M216" s="86"/>
      <c r="N216" s="87"/>
      <c r="O216" s="86"/>
      <c r="P216" s="86"/>
      <c r="Q216" s="87"/>
    </row>
    <row r="217" spans="1:17" ht="14.45" customHeight="1">
      <c r="A217" s="81">
        <v>31</v>
      </c>
      <c r="B217" s="82"/>
      <c r="C217" s="101" t="s">
        <v>63</v>
      </c>
      <c r="D217" s="101" t="s">
        <v>117</v>
      </c>
      <c r="E217" s="84" t="s">
        <v>49</v>
      </c>
      <c r="F217" s="89">
        <v>492</v>
      </c>
      <c r="G217" s="89">
        <v>486</v>
      </c>
      <c r="H217" s="90">
        <v>10</v>
      </c>
      <c r="I217" s="89">
        <v>33</v>
      </c>
      <c r="J217" s="89">
        <v>14</v>
      </c>
      <c r="K217" s="90">
        <v>10</v>
      </c>
      <c r="L217" s="86"/>
      <c r="M217" s="86"/>
      <c r="N217" s="87"/>
      <c r="O217" s="86"/>
      <c r="P217" s="86"/>
      <c r="Q217" s="87"/>
    </row>
    <row r="218" spans="1:17" ht="24" customHeight="1">
      <c r="A218" s="91">
        <v>31</v>
      </c>
      <c r="B218" s="92"/>
      <c r="C218" s="102" t="s">
        <v>63</v>
      </c>
      <c r="D218" s="102" t="s">
        <v>117</v>
      </c>
      <c r="E218" s="94" t="s">
        <v>49</v>
      </c>
      <c r="F218" s="95" t="s">
        <v>56</v>
      </c>
      <c r="G218" s="96">
        <v>1070000</v>
      </c>
      <c r="H218" s="97">
        <v>1070000</v>
      </c>
      <c r="I218" s="95" t="s">
        <v>56</v>
      </c>
      <c r="J218" s="96">
        <v>962000</v>
      </c>
      <c r="K218" s="97">
        <v>962000</v>
      </c>
      <c r="L218" s="98"/>
      <c r="M218" s="98"/>
      <c r="N218" s="99"/>
      <c r="O218" s="98"/>
      <c r="P218" s="98"/>
      <c r="Q218" s="99"/>
    </row>
    <row r="219" spans="1:17" ht="14.45" customHeight="1">
      <c r="A219" s="75">
        <v>32</v>
      </c>
      <c r="B219" s="76"/>
      <c r="C219" s="100" t="s">
        <v>54</v>
      </c>
      <c r="D219" s="100" t="s">
        <v>117</v>
      </c>
      <c r="E219" s="78" t="s">
        <v>49</v>
      </c>
      <c r="F219" s="79" t="s">
        <v>50</v>
      </c>
      <c r="G219" s="79" t="s">
        <v>50</v>
      </c>
      <c r="H219" s="80" t="s">
        <v>50</v>
      </c>
      <c r="I219" s="79" t="s">
        <v>51</v>
      </c>
      <c r="J219" s="79" t="s">
        <v>51</v>
      </c>
      <c r="K219" s="80" t="s">
        <v>51</v>
      </c>
      <c r="L219" s="79"/>
      <c r="M219" s="79"/>
      <c r="N219" s="80"/>
      <c r="O219" s="79"/>
      <c r="P219" s="79"/>
      <c r="Q219" s="80"/>
    </row>
    <row r="220" spans="1:17" ht="60" customHeight="1">
      <c r="A220" s="81">
        <v>32</v>
      </c>
      <c r="B220" s="82"/>
      <c r="C220" s="101" t="s">
        <v>54</v>
      </c>
      <c r="D220" s="101" t="s">
        <v>117</v>
      </c>
      <c r="E220" s="84" t="s">
        <v>49</v>
      </c>
      <c r="F220" s="85"/>
      <c r="G220" s="86" t="s">
        <v>123</v>
      </c>
      <c r="H220" s="87" t="s">
        <v>123</v>
      </c>
      <c r="I220" s="85"/>
      <c r="J220" s="86" t="s">
        <v>123</v>
      </c>
      <c r="K220" s="87" t="s">
        <v>123</v>
      </c>
      <c r="L220" s="86"/>
      <c r="M220" s="86"/>
      <c r="N220" s="87"/>
      <c r="O220" s="86"/>
      <c r="P220" s="86"/>
      <c r="Q220" s="87"/>
    </row>
    <row r="221" spans="1:17" ht="45" customHeight="1">
      <c r="A221" s="81">
        <v>32</v>
      </c>
      <c r="B221" s="82"/>
      <c r="C221" s="101" t="s">
        <v>54</v>
      </c>
      <c r="D221" s="101" t="s">
        <v>117</v>
      </c>
      <c r="E221" s="84" t="s">
        <v>49</v>
      </c>
      <c r="F221" s="85"/>
      <c r="G221" s="85"/>
      <c r="H221" s="88"/>
      <c r="I221" s="85"/>
      <c r="J221" s="85"/>
      <c r="K221" s="88"/>
      <c r="L221" s="86"/>
      <c r="M221" s="86"/>
      <c r="N221" s="87"/>
      <c r="O221" s="86"/>
      <c r="P221" s="86"/>
      <c r="Q221" s="87"/>
    </row>
    <row r="222" spans="1:17" ht="14.45" customHeight="1">
      <c r="A222" s="81">
        <v>32</v>
      </c>
      <c r="B222" s="82"/>
      <c r="C222" s="101" t="s">
        <v>54</v>
      </c>
      <c r="D222" s="101" t="s">
        <v>117</v>
      </c>
      <c r="E222" s="84" t="s">
        <v>49</v>
      </c>
      <c r="F222" s="89">
        <v>586</v>
      </c>
      <c r="G222" s="89">
        <v>2373</v>
      </c>
      <c r="H222" s="90">
        <v>737</v>
      </c>
      <c r="I222" s="89">
        <v>982</v>
      </c>
      <c r="J222" s="89">
        <v>1015</v>
      </c>
      <c r="K222" s="90">
        <v>184</v>
      </c>
      <c r="L222" s="86"/>
      <c r="M222" s="86"/>
      <c r="N222" s="87"/>
      <c r="O222" s="86"/>
      <c r="P222" s="86"/>
      <c r="Q222" s="87"/>
    </row>
    <row r="223" spans="1:17" ht="45" customHeight="1">
      <c r="A223" s="81">
        <v>32</v>
      </c>
      <c r="B223" s="82"/>
      <c r="C223" s="101" t="s">
        <v>54</v>
      </c>
      <c r="D223" s="101" t="s">
        <v>117</v>
      </c>
      <c r="E223" s="84" t="s">
        <v>49</v>
      </c>
      <c r="F223" s="85"/>
      <c r="G223" s="85"/>
      <c r="H223" s="88"/>
      <c r="I223" s="85"/>
      <c r="J223" s="85"/>
      <c r="K223" s="88"/>
      <c r="L223" s="86"/>
      <c r="M223" s="86"/>
      <c r="N223" s="87"/>
      <c r="O223" s="86"/>
      <c r="P223" s="86"/>
      <c r="Q223" s="87"/>
    </row>
    <row r="224" spans="1:17" ht="14.45" customHeight="1">
      <c r="A224" s="81">
        <v>32</v>
      </c>
      <c r="B224" s="82"/>
      <c r="C224" s="101" t="s">
        <v>54</v>
      </c>
      <c r="D224" s="101" t="s">
        <v>117</v>
      </c>
      <c r="E224" s="84" t="s">
        <v>49</v>
      </c>
      <c r="F224" s="89">
        <v>492</v>
      </c>
      <c r="G224" s="89">
        <v>486</v>
      </c>
      <c r="H224" s="90">
        <v>10</v>
      </c>
      <c r="I224" s="89">
        <v>33</v>
      </c>
      <c r="J224" s="89">
        <v>14</v>
      </c>
      <c r="K224" s="90">
        <v>10</v>
      </c>
      <c r="L224" s="86"/>
      <c r="M224" s="86"/>
      <c r="N224" s="87"/>
      <c r="O224" s="86"/>
      <c r="P224" s="86"/>
      <c r="Q224" s="87"/>
    </row>
    <row r="225" spans="1:17" ht="24" customHeight="1">
      <c r="A225" s="91">
        <v>32</v>
      </c>
      <c r="B225" s="92"/>
      <c r="C225" s="102" t="s">
        <v>54</v>
      </c>
      <c r="D225" s="102" t="s">
        <v>117</v>
      </c>
      <c r="E225" s="94" t="s">
        <v>49</v>
      </c>
      <c r="F225" s="95" t="s">
        <v>56</v>
      </c>
      <c r="G225" s="96">
        <v>1070000</v>
      </c>
      <c r="H225" s="97">
        <v>1070000</v>
      </c>
      <c r="I225" s="95" t="s">
        <v>56</v>
      </c>
      <c r="J225" s="96">
        <v>962000</v>
      </c>
      <c r="K225" s="97">
        <v>962000</v>
      </c>
      <c r="L225" s="98"/>
      <c r="M225" s="98"/>
      <c r="N225" s="99"/>
      <c r="O225" s="98"/>
      <c r="P225" s="98"/>
      <c r="Q225" s="99"/>
    </row>
    <row r="226" spans="1:17" ht="14.45" customHeight="1">
      <c r="A226" s="75">
        <v>33</v>
      </c>
      <c r="B226" s="76"/>
      <c r="C226" s="100" t="s">
        <v>65</v>
      </c>
      <c r="D226" s="100" t="s">
        <v>117</v>
      </c>
      <c r="E226" s="78" t="s">
        <v>49</v>
      </c>
      <c r="F226" s="79" t="s">
        <v>50</v>
      </c>
      <c r="G226" s="79" t="s">
        <v>50</v>
      </c>
      <c r="H226" s="80" t="s">
        <v>50</v>
      </c>
      <c r="I226" s="79" t="s">
        <v>51</v>
      </c>
      <c r="J226" s="79" t="s">
        <v>51</v>
      </c>
      <c r="K226" s="80" t="s">
        <v>51</v>
      </c>
      <c r="L226" s="79"/>
      <c r="M226" s="79"/>
      <c r="N226" s="80"/>
      <c r="O226" s="79"/>
      <c r="P226" s="79"/>
      <c r="Q226" s="80"/>
    </row>
    <row r="227" spans="1:17" ht="60" customHeight="1">
      <c r="A227" s="81">
        <v>33</v>
      </c>
      <c r="B227" s="82"/>
      <c r="C227" s="101" t="s">
        <v>65</v>
      </c>
      <c r="D227" s="101" t="s">
        <v>117</v>
      </c>
      <c r="E227" s="84" t="s">
        <v>49</v>
      </c>
      <c r="F227" s="85"/>
      <c r="G227" s="86" t="s">
        <v>124</v>
      </c>
      <c r="H227" s="87" t="s">
        <v>124</v>
      </c>
      <c r="I227" s="85"/>
      <c r="J227" s="86" t="s">
        <v>124</v>
      </c>
      <c r="K227" s="87" t="s">
        <v>124</v>
      </c>
      <c r="L227" s="86"/>
      <c r="M227" s="86"/>
      <c r="N227" s="87"/>
      <c r="O227" s="86"/>
      <c r="P227" s="86"/>
      <c r="Q227" s="87"/>
    </row>
    <row r="228" spans="1:17" ht="45" customHeight="1">
      <c r="A228" s="81">
        <v>33</v>
      </c>
      <c r="B228" s="82"/>
      <c r="C228" s="101" t="s">
        <v>65</v>
      </c>
      <c r="D228" s="101" t="s">
        <v>117</v>
      </c>
      <c r="E228" s="84" t="s">
        <v>49</v>
      </c>
      <c r="F228" s="85"/>
      <c r="G228" s="85"/>
      <c r="H228" s="88"/>
      <c r="I228" s="85"/>
      <c r="J228" s="85"/>
      <c r="K228" s="88"/>
      <c r="L228" s="86"/>
      <c r="M228" s="86"/>
      <c r="N228" s="87"/>
      <c r="O228" s="86"/>
      <c r="P228" s="86"/>
      <c r="Q228" s="87"/>
    </row>
    <row r="229" spans="1:17" ht="14.45" customHeight="1">
      <c r="A229" s="81">
        <v>33</v>
      </c>
      <c r="B229" s="82"/>
      <c r="C229" s="101" t="s">
        <v>65</v>
      </c>
      <c r="D229" s="101" t="s">
        <v>117</v>
      </c>
      <c r="E229" s="84" t="s">
        <v>49</v>
      </c>
      <c r="F229" s="89">
        <v>586</v>
      </c>
      <c r="G229" s="89">
        <v>2373</v>
      </c>
      <c r="H229" s="90">
        <v>737</v>
      </c>
      <c r="I229" s="89">
        <v>982</v>
      </c>
      <c r="J229" s="89">
        <v>1015</v>
      </c>
      <c r="K229" s="90">
        <v>184</v>
      </c>
      <c r="L229" s="86"/>
      <c r="M229" s="86"/>
      <c r="N229" s="87"/>
      <c r="O229" s="86"/>
      <c r="P229" s="86"/>
      <c r="Q229" s="87"/>
    </row>
    <row r="230" spans="1:17" ht="45" customHeight="1">
      <c r="A230" s="81">
        <v>33</v>
      </c>
      <c r="B230" s="82"/>
      <c r="C230" s="101" t="s">
        <v>65</v>
      </c>
      <c r="D230" s="101" t="s">
        <v>117</v>
      </c>
      <c r="E230" s="84" t="s">
        <v>49</v>
      </c>
      <c r="F230" s="85"/>
      <c r="G230" s="85"/>
      <c r="H230" s="88"/>
      <c r="I230" s="85"/>
      <c r="J230" s="85"/>
      <c r="K230" s="88"/>
      <c r="L230" s="86"/>
      <c r="M230" s="86"/>
      <c r="N230" s="87"/>
      <c r="O230" s="86"/>
      <c r="P230" s="86"/>
      <c r="Q230" s="87"/>
    </row>
    <row r="231" spans="1:17" ht="14.45" customHeight="1">
      <c r="A231" s="81">
        <v>33</v>
      </c>
      <c r="B231" s="82"/>
      <c r="C231" s="101" t="s">
        <v>65</v>
      </c>
      <c r="D231" s="101" t="s">
        <v>117</v>
      </c>
      <c r="E231" s="84" t="s">
        <v>49</v>
      </c>
      <c r="F231" s="89">
        <v>492</v>
      </c>
      <c r="G231" s="89">
        <v>486</v>
      </c>
      <c r="H231" s="90">
        <v>10</v>
      </c>
      <c r="I231" s="89">
        <v>33</v>
      </c>
      <c r="J231" s="89">
        <v>14</v>
      </c>
      <c r="K231" s="90">
        <v>10</v>
      </c>
      <c r="L231" s="86"/>
      <c r="M231" s="86"/>
      <c r="N231" s="87"/>
      <c r="O231" s="86"/>
      <c r="P231" s="86"/>
      <c r="Q231" s="87"/>
    </row>
    <row r="232" spans="1:17" ht="24" customHeight="1">
      <c r="A232" s="91">
        <v>33</v>
      </c>
      <c r="B232" s="92"/>
      <c r="C232" s="102" t="s">
        <v>65</v>
      </c>
      <c r="D232" s="102" t="s">
        <v>117</v>
      </c>
      <c r="E232" s="94" t="s">
        <v>49</v>
      </c>
      <c r="F232" s="95" t="s">
        <v>56</v>
      </c>
      <c r="G232" s="96">
        <v>1070000</v>
      </c>
      <c r="H232" s="97">
        <v>1070000</v>
      </c>
      <c r="I232" s="95" t="s">
        <v>56</v>
      </c>
      <c r="J232" s="96">
        <v>962000</v>
      </c>
      <c r="K232" s="97">
        <v>962000</v>
      </c>
      <c r="L232" s="98"/>
      <c r="M232" s="98"/>
      <c r="N232" s="99"/>
      <c r="O232" s="98"/>
      <c r="P232" s="98"/>
      <c r="Q232" s="99"/>
    </row>
    <row r="233" spans="1:17" ht="14.45" customHeight="1">
      <c r="A233" s="75">
        <v>34</v>
      </c>
      <c r="B233" s="76"/>
      <c r="C233" s="100" t="s">
        <v>67</v>
      </c>
      <c r="D233" s="100" t="s">
        <v>117</v>
      </c>
      <c r="E233" s="78" t="s">
        <v>49</v>
      </c>
      <c r="F233" s="79" t="s">
        <v>50</v>
      </c>
      <c r="G233" s="79" t="s">
        <v>50</v>
      </c>
      <c r="H233" s="80" t="s">
        <v>50</v>
      </c>
      <c r="I233" s="79" t="s">
        <v>51</v>
      </c>
      <c r="J233" s="79" t="s">
        <v>51</v>
      </c>
      <c r="K233" s="80" t="s">
        <v>51</v>
      </c>
      <c r="L233" s="79"/>
      <c r="M233" s="79"/>
      <c r="N233" s="80"/>
      <c r="O233" s="79"/>
      <c r="P233" s="79"/>
      <c r="Q233" s="80"/>
    </row>
    <row r="234" spans="1:17" ht="60" customHeight="1">
      <c r="A234" s="81">
        <v>34</v>
      </c>
      <c r="B234" s="82"/>
      <c r="C234" s="101" t="s">
        <v>67</v>
      </c>
      <c r="D234" s="101" t="s">
        <v>117</v>
      </c>
      <c r="E234" s="84" t="s">
        <v>49</v>
      </c>
      <c r="F234" s="85"/>
      <c r="G234" s="86" t="s">
        <v>125</v>
      </c>
      <c r="H234" s="87" t="s">
        <v>125</v>
      </c>
      <c r="I234" s="85"/>
      <c r="J234" s="86" t="s">
        <v>125</v>
      </c>
      <c r="K234" s="87" t="s">
        <v>125</v>
      </c>
      <c r="L234" s="86"/>
      <c r="M234" s="86"/>
      <c r="N234" s="87"/>
      <c r="O234" s="86"/>
      <c r="P234" s="86"/>
      <c r="Q234" s="87"/>
    </row>
    <row r="235" spans="1:17" ht="45" customHeight="1">
      <c r="A235" s="81">
        <v>34</v>
      </c>
      <c r="B235" s="82"/>
      <c r="C235" s="101" t="s">
        <v>67</v>
      </c>
      <c r="D235" s="101" t="s">
        <v>117</v>
      </c>
      <c r="E235" s="84" t="s">
        <v>49</v>
      </c>
      <c r="F235" s="85"/>
      <c r="G235" s="85"/>
      <c r="H235" s="88"/>
      <c r="I235" s="85"/>
      <c r="J235" s="85"/>
      <c r="K235" s="88"/>
      <c r="L235" s="86"/>
      <c r="M235" s="86"/>
      <c r="N235" s="87"/>
      <c r="O235" s="86"/>
      <c r="P235" s="86"/>
      <c r="Q235" s="87"/>
    </row>
    <row r="236" spans="1:17" ht="14.45" customHeight="1">
      <c r="A236" s="81">
        <v>34</v>
      </c>
      <c r="B236" s="82"/>
      <c r="C236" s="101" t="s">
        <v>67</v>
      </c>
      <c r="D236" s="101" t="s">
        <v>117</v>
      </c>
      <c r="E236" s="84" t="s">
        <v>49</v>
      </c>
      <c r="F236" s="89">
        <v>586</v>
      </c>
      <c r="G236" s="89">
        <v>2373</v>
      </c>
      <c r="H236" s="90">
        <v>737</v>
      </c>
      <c r="I236" s="89">
        <v>1152</v>
      </c>
      <c r="J236" s="89">
        <v>865</v>
      </c>
      <c r="K236" s="90">
        <v>184</v>
      </c>
      <c r="L236" s="86"/>
      <c r="M236" s="86"/>
      <c r="N236" s="87"/>
      <c r="O236" s="86"/>
      <c r="P236" s="86"/>
      <c r="Q236" s="87"/>
    </row>
    <row r="237" spans="1:17" ht="45" customHeight="1">
      <c r="A237" s="81">
        <v>34</v>
      </c>
      <c r="B237" s="82"/>
      <c r="C237" s="101" t="s">
        <v>67</v>
      </c>
      <c r="D237" s="101" t="s">
        <v>117</v>
      </c>
      <c r="E237" s="84" t="s">
        <v>49</v>
      </c>
      <c r="F237" s="85"/>
      <c r="G237" s="85"/>
      <c r="H237" s="88"/>
      <c r="I237" s="85"/>
      <c r="J237" s="85"/>
      <c r="K237" s="88"/>
      <c r="L237" s="86"/>
      <c r="M237" s="86"/>
      <c r="N237" s="87"/>
      <c r="O237" s="86"/>
      <c r="P237" s="86"/>
      <c r="Q237" s="87"/>
    </row>
    <row r="238" spans="1:17" ht="14.45" customHeight="1">
      <c r="A238" s="81">
        <v>34</v>
      </c>
      <c r="B238" s="82"/>
      <c r="C238" s="101" t="s">
        <v>67</v>
      </c>
      <c r="D238" s="101" t="s">
        <v>117</v>
      </c>
      <c r="E238" s="84" t="s">
        <v>49</v>
      </c>
      <c r="F238" s="89">
        <v>492</v>
      </c>
      <c r="G238" s="89">
        <v>486</v>
      </c>
      <c r="H238" s="90">
        <v>10</v>
      </c>
      <c r="I238" s="89">
        <v>33</v>
      </c>
      <c r="J238" s="89">
        <v>14</v>
      </c>
      <c r="K238" s="90">
        <v>10</v>
      </c>
      <c r="L238" s="86"/>
      <c r="M238" s="86"/>
      <c r="N238" s="87"/>
      <c r="O238" s="86"/>
      <c r="P238" s="86"/>
      <c r="Q238" s="87"/>
    </row>
    <row r="239" spans="1:17" ht="24" customHeight="1">
      <c r="A239" s="91">
        <v>34</v>
      </c>
      <c r="B239" s="92"/>
      <c r="C239" s="102" t="s">
        <v>67</v>
      </c>
      <c r="D239" s="102" t="s">
        <v>117</v>
      </c>
      <c r="E239" s="94" t="s">
        <v>49</v>
      </c>
      <c r="F239" s="95" t="s">
        <v>56</v>
      </c>
      <c r="G239" s="96">
        <v>1070000</v>
      </c>
      <c r="H239" s="97">
        <v>1070000</v>
      </c>
      <c r="I239" s="95" t="s">
        <v>56</v>
      </c>
      <c r="J239" s="96">
        <v>958000</v>
      </c>
      <c r="K239" s="97">
        <v>958000</v>
      </c>
      <c r="L239" s="98"/>
      <c r="M239" s="98"/>
      <c r="N239" s="99"/>
      <c r="O239" s="98"/>
      <c r="P239" s="98"/>
      <c r="Q239" s="99"/>
    </row>
    <row r="240" spans="1:17" ht="14.45" customHeight="1">
      <c r="A240" s="75">
        <v>35</v>
      </c>
      <c r="B240" s="76"/>
      <c r="C240" s="100" t="s">
        <v>61</v>
      </c>
      <c r="D240" s="100" t="s">
        <v>117</v>
      </c>
      <c r="E240" s="78" t="s">
        <v>49</v>
      </c>
      <c r="F240" s="79" t="s">
        <v>50</v>
      </c>
      <c r="G240" s="79" t="s">
        <v>50</v>
      </c>
      <c r="H240" s="80" t="s">
        <v>50</v>
      </c>
      <c r="I240" s="79" t="s">
        <v>51</v>
      </c>
      <c r="J240" s="79" t="s">
        <v>51</v>
      </c>
      <c r="K240" s="80" t="s">
        <v>51</v>
      </c>
      <c r="L240" s="79" t="s">
        <v>52</v>
      </c>
      <c r="M240" s="79" t="s">
        <v>52</v>
      </c>
      <c r="N240" s="80" t="s">
        <v>52</v>
      </c>
      <c r="O240" s="79" t="s">
        <v>53</v>
      </c>
      <c r="P240" s="79" t="s">
        <v>53</v>
      </c>
      <c r="Q240" s="80" t="s">
        <v>53</v>
      </c>
    </row>
    <row r="241" spans="1:17" ht="60" customHeight="1">
      <c r="A241" s="81">
        <v>35</v>
      </c>
      <c r="B241" s="82"/>
      <c r="C241" s="101" t="s">
        <v>61</v>
      </c>
      <c r="D241" s="101" t="s">
        <v>117</v>
      </c>
      <c r="E241" s="84" t="s">
        <v>49</v>
      </c>
      <c r="F241" s="85"/>
      <c r="G241" s="86" t="s">
        <v>126</v>
      </c>
      <c r="H241" s="87" t="s">
        <v>126</v>
      </c>
      <c r="I241" s="85"/>
      <c r="J241" s="86" t="s">
        <v>126</v>
      </c>
      <c r="K241" s="87" t="s">
        <v>126</v>
      </c>
      <c r="L241" s="85"/>
      <c r="M241" s="86"/>
      <c r="N241" s="87"/>
      <c r="O241" s="85"/>
      <c r="P241" s="86"/>
      <c r="Q241" s="87"/>
    </row>
    <row r="242" spans="1:17" ht="45" customHeight="1">
      <c r="A242" s="81">
        <v>35</v>
      </c>
      <c r="B242" s="82"/>
      <c r="C242" s="101" t="s">
        <v>61</v>
      </c>
      <c r="D242" s="101" t="s">
        <v>117</v>
      </c>
      <c r="E242" s="84" t="s">
        <v>49</v>
      </c>
      <c r="F242" s="85"/>
      <c r="G242" s="85"/>
      <c r="H242" s="88"/>
      <c r="I242" s="85"/>
      <c r="J242" s="85"/>
      <c r="K242" s="88"/>
      <c r="L242" s="85"/>
      <c r="M242" s="85"/>
      <c r="N242" s="88"/>
      <c r="O242" s="85"/>
      <c r="P242" s="85"/>
      <c r="Q242" s="88"/>
    </row>
    <row r="243" spans="1:17" ht="14.45" customHeight="1">
      <c r="A243" s="81">
        <v>35</v>
      </c>
      <c r="B243" s="82"/>
      <c r="C243" s="101" t="s">
        <v>61</v>
      </c>
      <c r="D243" s="101" t="s">
        <v>117</v>
      </c>
      <c r="E243" s="84" t="s">
        <v>49</v>
      </c>
      <c r="F243" s="89">
        <v>564</v>
      </c>
      <c r="G243" s="89">
        <v>2288</v>
      </c>
      <c r="H243" s="90">
        <v>597</v>
      </c>
      <c r="I243" s="89">
        <v>209</v>
      </c>
      <c r="J243" s="89">
        <v>848</v>
      </c>
      <c r="K243" s="90">
        <v>221</v>
      </c>
      <c r="L243" s="89">
        <v>564</v>
      </c>
      <c r="M243" s="89">
        <v>2288</v>
      </c>
      <c r="N243" s="90">
        <v>597</v>
      </c>
      <c r="O243" s="89">
        <v>807</v>
      </c>
      <c r="P243" s="89">
        <v>3274</v>
      </c>
      <c r="Q243" s="90">
        <v>855</v>
      </c>
    </row>
    <row r="244" spans="1:17" ht="45" customHeight="1">
      <c r="A244" s="81">
        <v>35</v>
      </c>
      <c r="B244" s="82"/>
      <c r="C244" s="101" t="s">
        <v>61</v>
      </c>
      <c r="D244" s="101" t="s">
        <v>117</v>
      </c>
      <c r="E244" s="84" t="s">
        <v>49</v>
      </c>
      <c r="F244" s="85"/>
      <c r="G244" s="85"/>
      <c r="H244" s="88"/>
      <c r="I244" s="85"/>
      <c r="J244" s="85"/>
      <c r="K244" s="88"/>
      <c r="L244" s="85"/>
      <c r="M244" s="85"/>
      <c r="N244" s="88"/>
      <c r="O244" s="85"/>
      <c r="P244" s="85"/>
      <c r="Q244" s="88"/>
    </row>
    <row r="245" spans="1:17" ht="14.45" customHeight="1">
      <c r="A245" s="81">
        <v>35</v>
      </c>
      <c r="B245" s="82"/>
      <c r="C245" s="101" t="s">
        <v>61</v>
      </c>
      <c r="D245" s="101" t="s">
        <v>117</v>
      </c>
      <c r="E245" s="84" t="s">
        <v>49</v>
      </c>
      <c r="F245" s="89">
        <v>570</v>
      </c>
      <c r="G245" s="89">
        <v>468</v>
      </c>
      <c r="H245" s="90">
        <v>10</v>
      </c>
      <c r="I245" s="89">
        <v>211</v>
      </c>
      <c r="J245" s="89">
        <v>173</v>
      </c>
      <c r="K245" s="90">
        <v>10</v>
      </c>
      <c r="L245" s="89">
        <v>570</v>
      </c>
      <c r="M245" s="89">
        <v>468</v>
      </c>
      <c r="N245" s="90">
        <v>10</v>
      </c>
      <c r="O245" s="89">
        <v>815</v>
      </c>
      <c r="P245" s="89">
        <v>669</v>
      </c>
      <c r="Q245" s="90">
        <v>10</v>
      </c>
    </row>
    <row r="246" spans="1:17" ht="24" customHeight="1">
      <c r="A246" s="91">
        <v>35</v>
      </c>
      <c r="B246" s="92"/>
      <c r="C246" s="102" t="s">
        <v>61</v>
      </c>
      <c r="D246" s="102" t="s">
        <v>117</v>
      </c>
      <c r="E246" s="94" t="s">
        <v>49</v>
      </c>
      <c r="F246" s="95" t="s">
        <v>56</v>
      </c>
      <c r="G246" s="96">
        <v>941000</v>
      </c>
      <c r="H246" s="97">
        <v>941000</v>
      </c>
      <c r="I246" s="95" t="s">
        <v>56</v>
      </c>
      <c r="J246" s="96">
        <v>361000</v>
      </c>
      <c r="K246" s="97">
        <v>361000</v>
      </c>
      <c r="L246" s="95" t="s">
        <v>56</v>
      </c>
      <c r="M246" s="96">
        <v>941000</v>
      </c>
      <c r="N246" s="97">
        <v>941000</v>
      </c>
      <c r="O246" s="95" t="s">
        <v>56</v>
      </c>
      <c r="P246" s="96">
        <v>1290000</v>
      </c>
      <c r="Q246" s="97">
        <v>1290000</v>
      </c>
    </row>
    <row r="247" spans="1:17" ht="14.45" customHeight="1">
      <c r="A247" s="75">
        <v>36</v>
      </c>
      <c r="B247" s="76"/>
      <c r="C247" s="100" t="s">
        <v>70</v>
      </c>
      <c r="D247" s="100" t="s">
        <v>117</v>
      </c>
      <c r="E247" s="78" t="s">
        <v>69</v>
      </c>
      <c r="F247" s="79" t="s">
        <v>50</v>
      </c>
      <c r="G247" s="79" t="s">
        <v>50</v>
      </c>
      <c r="H247" s="80" t="s">
        <v>50</v>
      </c>
      <c r="I247" s="79" t="s">
        <v>51</v>
      </c>
      <c r="J247" s="79" t="s">
        <v>51</v>
      </c>
      <c r="K247" s="80" t="s">
        <v>51</v>
      </c>
      <c r="L247" s="79"/>
      <c r="M247" s="79"/>
      <c r="N247" s="80"/>
      <c r="O247" s="79"/>
      <c r="P247" s="79"/>
      <c r="Q247" s="80"/>
    </row>
    <row r="248" spans="1:17" ht="60" customHeight="1">
      <c r="A248" s="81">
        <v>36</v>
      </c>
      <c r="B248" s="82"/>
      <c r="C248" s="101" t="s">
        <v>70</v>
      </c>
      <c r="D248" s="101" t="s">
        <v>117</v>
      </c>
      <c r="E248" s="84" t="s">
        <v>69</v>
      </c>
      <c r="F248" s="85"/>
      <c r="G248" s="86" t="s">
        <v>124</v>
      </c>
      <c r="H248" s="87" t="s">
        <v>124</v>
      </c>
      <c r="I248" s="85"/>
      <c r="J248" s="86" t="s">
        <v>124</v>
      </c>
      <c r="K248" s="87" t="s">
        <v>124</v>
      </c>
      <c r="L248" s="86"/>
      <c r="M248" s="86"/>
      <c r="N248" s="87"/>
      <c r="O248" s="86"/>
      <c r="P248" s="86"/>
      <c r="Q248" s="87"/>
    </row>
    <row r="249" spans="1:17" ht="45" customHeight="1">
      <c r="A249" s="81">
        <v>36</v>
      </c>
      <c r="B249" s="82"/>
      <c r="C249" s="101" t="s">
        <v>70</v>
      </c>
      <c r="D249" s="101" t="s">
        <v>117</v>
      </c>
      <c r="E249" s="84" t="s">
        <v>69</v>
      </c>
      <c r="F249" s="85"/>
      <c r="G249" s="85"/>
      <c r="H249" s="88"/>
      <c r="I249" s="85"/>
      <c r="J249" s="85"/>
      <c r="K249" s="88"/>
      <c r="L249" s="86"/>
      <c r="M249" s="86"/>
      <c r="N249" s="87"/>
      <c r="O249" s="86"/>
      <c r="P249" s="86"/>
      <c r="Q249" s="87"/>
    </row>
    <row r="250" spans="1:17" ht="14.45" customHeight="1">
      <c r="A250" s="81">
        <v>36</v>
      </c>
      <c r="B250" s="82"/>
      <c r="C250" s="101" t="s">
        <v>70</v>
      </c>
      <c r="D250" s="101" t="s">
        <v>117</v>
      </c>
      <c r="E250" s="84" t="s">
        <v>69</v>
      </c>
      <c r="F250" s="89">
        <v>564</v>
      </c>
      <c r="G250" s="89">
        <v>2288</v>
      </c>
      <c r="H250" s="90">
        <v>709</v>
      </c>
      <c r="I250" s="89">
        <v>33</v>
      </c>
      <c r="J250" s="89">
        <v>14</v>
      </c>
      <c r="K250" s="90">
        <v>982</v>
      </c>
      <c r="L250" s="86"/>
      <c r="M250" s="86"/>
      <c r="N250" s="87"/>
      <c r="O250" s="86"/>
      <c r="P250" s="86"/>
      <c r="Q250" s="87"/>
    </row>
    <row r="251" spans="1:17" ht="45" customHeight="1">
      <c r="A251" s="81">
        <v>36</v>
      </c>
      <c r="B251" s="82"/>
      <c r="C251" s="101" t="s">
        <v>70</v>
      </c>
      <c r="D251" s="101" t="s">
        <v>117</v>
      </c>
      <c r="E251" s="84" t="s">
        <v>69</v>
      </c>
      <c r="F251" s="85"/>
      <c r="G251" s="85"/>
      <c r="H251" s="88"/>
      <c r="I251" s="85"/>
      <c r="J251" s="85"/>
      <c r="K251" s="88"/>
      <c r="L251" s="86"/>
      <c r="M251" s="86"/>
      <c r="N251" s="87"/>
      <c r="O251" s="86"/>
      <c r="P251" s="86"/>
      <c r="Q251" s="87"/>
    </row>
    <row r="252" spans="1:17" ht="14.45" customHeight="1">
      <c r="A252" s="81">
        <v>36</v>
      </c>
      <c r="B252" s="82"/>
      <c r="C252" s="101" t="s">
        <v>70</v>
      </c>
      <c r="D252" s="101" t="s">
        <v>117</v>
      </c>
      <c r="E252" s="84" t="s">
        <v>69</v>
      </c>
      <c r="F252" s="89">
        <v>480</v>
      </c>
      <c r="G252" s="89">
        <v>469</v>
      </c>
      <c r="H252" s="90">
        <v>10</v>
      </c>
      <c r="I252" s="89">
        <v>184</v>
      </c>
      <c r="J252" s="89">
        <v>1015</v>
      </c>
      <c r="K252" s="90">
        <v>10</v>
      </c>
      <c r="L252" s="86"/>
      <c r="M252" s="86"/>
      <c r="N252" s="87"/>
      <c r="O252" s="86"/>
      <c r="P252" s="86"/>
      <c r="Q252" s="87"/>
    </row>
    <row r="253" spans="1:17" ht="24" customHeight="1">
      <c r="A253" s="91">
        <v>36</v>
      </c>
      <c r="B253" s="92"/>
      <c r="C253" s="102" t="s">
        <v>70</v>
      </c>
      <c r="D253" s="102" t="s">
        <v>117</v>
      </c>
      <c r="E253" s="94" t="s">
        <v>69</v>
      </c>
      <c r="F253" s="95" t="s">
        <v>56</v>
      </c>
      <c r="G253" s="96">
        <v>1031000</v>
      </c>
      <c r="H253" s="97">
        <v>1031000</v>
      </c>
      <c r="I253" s="95" t="s">
        <v>56</v>
      </c>
      <c r="J253" s="96">
        <v>962000</v>
      </c>
      <c r="K253" s="97">
        <v>962000</v>
      </c>
      <c r="L253" s="98"/>
      <c r="M253" s="98"/>
      <c r="N253" s="99"/>
      <c r="O253" s="98"/>
      <c r="P253" s="98"/>
      <c r="Q253" s="99"/>
    </row>
    <row r="254" spans="1:17" ht="14.45" customHeight="1">
      <c r="A254" s="75">
        <v>37</v>
      </c>
      <c r="B254" s="76"/>
      <c r="C254" s="100" t="s">
        <v>72</v>
      </c>
      <c r="D254" s="100" t="s">
        <v>117</v>
      </c>
      <c r="E254" s="78" t="s">
        <v>69</v>
      </c>
      <c r="F254" s="79" t="s">
        <v>50</v>
      </c>
      <c r="G254" s="79" t="s">
        <v>50</v>
      </c>
      <c r="H254" s="80" t="s">
        <v>50</v>
      </c>
      <c r="I254" s="79" t="s">
        <v>51</v>
      </c>
      <c r="J254" s="79" t="s">
        <v>51</v>
      </c>
      <c r="K254" s="80" t="s">
        <v>51</v>
      </c>
      <c r="L254" s="79"/>
      <c r="M254" s="79"/>
      <c r="N254" s="80"/>
      <c r="O254" s="79"/>
      <c r="P254" s="79"/>
      <c r="Q254" s="80"/>
    </row>
    <row r="255" spans="1:17" ht="60" customHeight="1">
      <c r="A255" s="81">
        <v>37</v>
      </c>
      <c r="B255" s="82"/>
      <c r="C255" s="101" t="s">
        <v>72</v>
      </c>
      <c r="D255" s="101" t="s">
        <v>117</v>
      </c>
      <c r="E255" s="84" t="s">
        <v>69</v>
      </c>
      <c r="F255" s="85"/>
      <c r="G255" s="86" t="s">
        <v>127</v>
      </c>
      <c r="H255" s="87" t="s">
        <v>127</v>
      </c>
      <c r="I255" s="85"/>
      <c r="J255" s="86" t="s">
        <v>127</v>
      </c>
      <c r="K255" s="87" t="s">
        <v>127</v>
      </c>
      <c r="L255" s="86"/>
      <c r="M255" s="86"/>
      <c r="N255" s="87"/>
      <c r="O255" s="86"/>
      <c r="P255" s="86"/>
      <c r="Q255" s="87"/>
    </row>
    <row r="256" spans="1:17" ht="45" customHeight="1">
      <c r="A256" s="81">
        <v>37</v>
      </c>
      <c r="B256" s="82"/>
      <c r="C256" s="101" t="s">
        <v>72</v>
      </c>
      <c r="D256" s="101" t="s">
        <v>117</v>
      </c>
      <c r="E256" s="84" t="s">
        <v>69</v>
      </c>
      <c r="F256" s="85"/>
      <c r="G256" s="85"/>
      <c r="H256" s="88"/>
      <c r="I256" s="85"/>
      <c r="J256" s="85"/>
      <c r="K256" s="88"/>
      <c r="L256" s="86"/>
      <c r="M256" s="86"/>
      <c r="N256" s="87"/>
      <c r="O256" s="86"/>
      <c r="P256" s="86"/>
      <c r="Q256" s="87"/>
    </row>
    <row r="257" spans="1:17" ht="14.45" customHeight="1">
      <c r="A257" s="81">
        <v>37</v>
      </c>
      <c r="B257" s="82"/>
      <c r="C257" s="101" t="s">
        <v>72</v>
      </c>
      <c r="D257" s="101" t="s">
        <v>117</v>
      </c>
      <c r="E257" s="84" t="s">
        <v>69</v>
      </c>
      <c r="F257" s="89">
        <v>488</v>
      </c>
      <c r="G257" s="89">
        <v>622</v>
      </c>
      <c r="H257" s="90">
        <v>500</v>
      </c>
      <c r="I257" s="89">
        <v>35</v>
      </c>
      <c r="J257" s="89">
        <v>14</v>
      </c>
      <c r="K257" s="90">
        <v>193</v>
      </c>
      <c r="L257" s="86"/>
      <c r="M257" s="86"/>
      <c r="N257" s="87"/>
      <c r="O257" s="86"/>
      <c r="P257" s="86"/>
      <c r="Q257" s="87"/>
    </row>
    <row r="258" spans="1:17" ht="45" customHeight="1">
      <c r="A258" s="81">
        <v>37</v>
      </c>
      <c r="B258" s="82"/>
      <c r="C258" s="101" t="s">
        <v>72</v>
      </c>
      <c r="D258" s="101" t="s">
        <v>117</v>
      </c>
      <c r="E258" s="84" t="s">
        <v>69</v>
      </c>
      <c r="F258" s="85"/>
      <c r="G258" s="85"/>
      <c r="H258" s="88"/>
      <c r="I258" s="85"/>
      <c r="J258" s="85"/>
      <c r="K258" s="88"/>
      <c r="L258" s="86"/>
      <c r="M258" s="86"/>
      <c r="N258" s="87"/>
      <c r="O258" s="86"/>
      <c r="P258" s="86"/>
      <c r="Q258" s="87"/>
    </row>
    <row r="259" spans="1:17" ht="14.45" customHeight="1">
      <c r="A259" s="81">
        <v>37</v>
      </c>
      <c r="B259" s="82"/>
      <c r="C259" s="101" t="s">
        <v>72</v>
      </c>
      <c r="D259" s="101" t="s">
        <v>117</v>
      </c>
      <c r="E259" s="84" t="s">
        <v>69</v>
      </c>
      <c r="F259" s="89">
        <v>2288</v>
      </c>
      <c r="G259" s="89">
        <v>10</v>
      </c>
      <c r="H259" s="88"/>
      <c r="I259" s="89">
        <v>1128</v>
      </c>
      <c r="J259" s="89">
        <v>10</v>
      </c>
      <c r="K259" s="88"/>
      <c r="L259" s="86"/>
      <c r="M259" s="86"/>
      <c r="N259" s="87"/>
      <c r="O259" s="86"/>
      <c r="P259" s="86"/>
      <c r="Q259" s="87"/>
    </row>
    <row r="260" spans="1:17" ht="24" customHeight="1">
      <c r="A260" s="91">
        <v>37</v>
      </c>
      <c r="B260" s="92"/>
      <c r="C260" s="102" t="s">
        <v>72</v>
      </c>
      <c r="D260" s="102" t="s">
        <v>117</v>
      </c>
      <c r="E260" s="94" t="s">
        <v>69</v>
      </c>
      <c r="F260" s="95" t="s">
        <v>56</v>
      </c>
      <c r="G260" s="96">
        <v>924000</v>
      </c>
      <c r="H260" s="97">
        <v>924000</v>
      </c>
      <c r="I260" s="95" t="s">
        <v>56</v>
      </c>
      <c r="J260" s="96">
        <v>686000</v>
      </c>
      <c r="K260" s="97">
        <v>686000</v>
      </c>
      <c r="L260" s="98"/>
      <c r="M260" s="98"/>
      <c r="N260" s="99"/>
      <c r="O260" s="98"/>
      <c r="P260" s="98"/>
      <c r="Q260" s="99"/>
    </row>
    <row r="261" spans="1:17" ht="14.45" customHeight="1">
      <c r="A261" s="75">
        <v>38</v>
      </c>
      <c r="B261" s="76"/>
      <c r="C261" s="100" t="s">
        <v>73</v>
      </c>
      <c r="D261" s="100" t="s">
        <v>117</v>
      </c>
      <c r="E261" s="78" t="s">
        <v>69</v>
      </c>
      <c r="F261" s="79" t="s">
        <v>50</v>
      </c>
      <c r="G261" s="79" t="s">
        <v>50</v>
      </c>
      <c r="H261" s="80" t="s">
        <v>50</v>
      </c>
      <c r="I261" s="79" t="s">
        <v>51</v>
      </c>
      <c r="J261" s="79" t="s">
        <v>51</v>
      </c>
      <c r="K261" s="80" t="s">
        <v>51</v>
      </c>
      <c r="L261" s="79"/>
      <c r="M261" s="79"/>
      <c r="N261" s="80"/>
      <c r="O261" s="79"/>
      <c r="P261" s="79"/>
      <c r="Q261" s="80"/>
    </row>
    <row r="262" spans="1:17" ht="60" customHeight="1">
      <c r="A262" s="81">
        <v>38</v>
      </c>
      <c r="B262" s="82"/>
      <c r="C262" s="101" t="s">
        <v>73</v>
      </c>
      <c r="D262" s="101" t="s">
        <v>117</v>
      </c>
      <c r="E262" s="84" t="s">
        <v>69</v>
      </c>
      <c r="F262" s="85"/>
      <c r="G262" s="86" t="s">
        <v>127</v>
      </c>
      <c r="H262" s="87" t="s">
        <v>127</v>
      </c>
      <c r="I262" s="85"/>
      <c r="J262" s="86" t="s">
        <v>127</v>
      </c>
      <c r="K262" s="87" t="s">
        <v>127</v>
      </c>
      <c r="L262" s="86"/>
      <c r="M262" s="86"/>
      <c r="N262" s="87"/>
      <c r="O262" s="86"/>
      <c r="P262" s="86"/>
      <c r="Q262" s="87"/>
    </row>
    <row r="263" spans="1:17" ht="45" customHeight="1">
      <c r="A263" s="81">
        <v>38</v>
      </c>
      <c r="B263" s="82"/>
      <c r="C263" s="101" t="s">
        <v>73</v>
      </c>
      <c r="D263" s="101" t="s">
        <v>117</v>
      </c>
      <c r="E263" s="84" t="s">
        <v>69</v>
      </c>
      <c r="F263" s="85"/>
      <c r="G263" s="85"/>
      <c r="H263" s="88"/>
      <c r="I263" s="85"/>
      <c r="J263" s="85"/>
      <c r="K263" s="88"/>
      <c r="L263" s="86"/>
      <c r="M263" s="86"/>
      <c r="N263" s="87"/>
      <c r="O263" s="86"/>
      <c r="P263" s="86"/>
      <c r="Q263" s="87"/>
    </row>
    <row r="264" spans="1:17" ht="14.45" customHeight="1">
      <c r="A264" s="81">
        <v>38</v>
      </c>
      <c r="B264" s="82"/>
      <c r="C264" s="101" t="s">
        <v>73</v>
      </c>
      <c r="D264" s="101" t="s">
        <v>117</v>
      </c>
      <c r="E264" s="84" t="s">
        <v>69</v>
      </c>
      <c r="F264" s="89">
        <v>488</v>
      </c>
      <c r="G264" s="89">
        <v>622</v>
      </c>
      <c r="H264" s="90">
        <v>500</v>
      </c>
      <c r="I264" s="89">
        <v>35</v>
      </c>
      <c r="J264" s="89">
        <v>14</v>
      </c>
      <c r="K264" s="90">
        <v>193</v>
      </c>
      <c r="L264" s="86"/>
      <c r="M264" s="86"/>
      <c r="N264" s="87"/>
      <c r="O264" s="86"/>
      <c r="P264" s="86"/>
      <c r="Q264" s="87"/>
    </row>
    <row r="265" spans="1:17" ht="45" customHeight="1">
      <c r="A265" s="81">
        <v>38</v>
      </c>
      <c r="B265" s="82"/>
      <c r="C265" s="101" t="s">
        <v>73</v>
      </c>
      <c r="D265" s="101" t="s">
        <v>117</v>
      </c>
      <c r="E265" s="84" t="s">
        <v>69</v>
      </c>
      <c r="F265" s="85"/>
      <c r="G265" s="85"/>
      <c r="H265" s="88"/>
      <c r="I265" s="85"/>
      <c r="J265" s="85"/>
      <c r="K265" s="88"/>
      <c r="L265" s="86"/>
      <c r="M265" s="86"/>
      <c r="N265" s="87"/>
      <c r="O265" s="86"/>
      <c r="P265" s="86"/>
      <c r="Q265" s="87"/>
    </row>
    <row r="266" spans="1:17" ht="14.45" customHeight="1">
      <c r="A266" s="81">
        <v>38</v>
      </c>
      <c r="B266" s="82"/>
      <c r="C266" s="101" t="s">
        <v>73</v>
      </c>
      <c r="D266" s="101" t="s">
        <v>117</v>
      </c>
      <c r="E266" s="84" t="s">
        <v>69</v>
      </c>
      <c r="F266" s="89">
        <v>2288</v>
      </c>
      <c r="G266" s="89">
        <v>10</v>
      </c>
      <c r="H266" s="88"/>
      <c r="I266" s="89">
        <v>1128</v>
      </c>
      <c r="J266" s="89">
        <v>10</v>
      </c>
      <c r="K266" s="88"/>
      <c r="L266" s="86"/>
      <c r="M266" s="86"/>
      <c r="N266" s="87"/>
      <c r="O266" s="86"/>
      <c r="P266" s="86"/>
      <c r="Q266" s="87"/>
    </row>
    <row r="267" spans="1:17" ht="24" customHeight="1">
      <c r="A267" s="91">
        <v>38</v>
      </c>
      <c r="B267" s="92"/>
      <c r="C267" s="102" t="s">
        <v>73</v>
      </c>
      <c r="D267" s="102" t="s">
        <v>117</v>
      </c>
      <c r="E267" s="94" t="s">
        <v>69</v>
      </c>
      <c r="F267" s="95" t="s">
        <v>56</v>
      </c>
      <c r="G267" s="96">
        <v>924000</v>
      </c>
      <c r="H267" s="97">
        <v>924000</v>
      </c>
      <c r="I267" s="95" t="s">
        <v>56</v>
      </c>
      <c r="J267" s="96">
        <v>686000</v>
      </c>
      <c r="K267" s="97">
        <v>686000</v>
      </c>
      <c r="L267" s="98"/>
      <c r="M267" s="98"/>
      <c r="N267" s="99"/>
      <c r="O267" s="98"/>
      <c r="P267" s="98"/>
      <c r="Q267" s="99"/>
    </row>
    <row r="268" spans="1:17" ht="14.45" customHeight="1">
      <c r="A268" s="75">
        <v>39</v>
      </c>
      <c r="B268" s="76"/>
      <c r="C268" s="100" t="s">
        <v>77</v>
      </c>
      <c r="D268" s="100" t="s">
        <v>117</v>
      </c>
      <c r="E268" s="78" t="s">
        <v>69</v>
      </c>
      <c r="F268" s="79" t="s">
        <v>50</v>
      </c>
      <c r="G268" s="79" t="s">
        <v>50</v>
      </c>
      <c r="H268" s="80" t="s">
        <v>50</v>
      </c>
      <c r="I268" s="79" t="s">
        <v>51</v>
      </c>
      <c r="J268" s="79" t="s">
        <v>51</v>
      </c>
      <c r="K268" s="80" t="s">
        <v>51</v>
      </c>
      <c r="L268" s="79"/>
      <c r="M268" s="79"/>
      <c r="N268" s="80"/>
      <c r="O268" s="79"/>
      <c r="P268" s="79"/>
      <c r="Q268" s="80"/>
    </row>
    <row r="269" spans="1:17" ht="60" customHeight="1">
      <c r="A269" s="81">
        <v>39</v>
      </c>
      <c r="B269" s="82"/>
      <c r="C269" s="101" t="s">
        <v>77</v>
      </c>
      <c r="D269" s="101" t="s">
        <v>117</v>
      </c>
      <c r="E269" s="84" t="s">
        <v>69</v>
      </c>
      <c r="F269" s="85"/>
      <c r="G269" s="86" t="s">
        <v>128</v>
      </c>
      <c r="H269" s="87" t="s">
        <v>128</v>
      </c>
      <c r="I269" s="85"/>
      <c r="J269" s="86" t="s">
        <v>128</v>
      </c>
      <c r="K269" s="87" t="s">
        <v>128</v>
      </c>
      <c r="L269" s="86"/>
      <c r="M269" s="86"/>
      <c r="N269" s="87"/>
      <c r="O269" s="86"/>
      <c r="P269" s="86"/>
      <c r="Q269" s="87"/>
    </row>
    <row r="270" spans="1:17" ht="45" customHeight="1">
      <c r="A270" s="81">
        <v>39</v>
      </c>
      <c r="B270" s="82"/>
      <c r="C270" s="101" t="s">
        <v>77</v>
      </c>
      <c r="D270" s="101" t="s">
        <v>117</v>
      </c>
      <c r="E270" s="84" t="s">
        <v>69</v>
      </c>
      <c r="F270" s="85"/>
      <c r="G270" s="85"/>
      <c r="H270" s="88"/>
      <c r="I270" s="85"/>
      <c r="J270" s="85"/>
      <c r="K270" s="88"/>
      <c r="L270" s="86"/>
      <c r="M270" s="86"/>
      <c r="N270" s="87"/>
      <c r="O270" s="86"/>
      <c r="P270" s="86"/>
      <c r="Q270" s="87"/>
    </row>
    <row r="271" spans="1:17" ht="14.45" customHeight="1">
      <c r="A271" s="81">
        <v>39</v>
      </c>
      <c r="B271" s="82"/>
      <c r="C271" s="101" t="s">
        <v>77</v>
      </c>
      <c r="D271" s="101" t="s">
        <v>117</v>
      </c>
      <c r="E271" s="84" t="s">
        <v>69</v>
      </c>
      <c r="F271" s="89">
        <v>488</v>
      </c>
      <c r="G271" s="89">
        <v>622</v>
      </c>
      <c r="H271" s="90">
        <v>500</v>
      </c>
      <c r="I271" s="89">
        <v>35</v>
      </c>
      <c r="J271" s="89">
        <v>14</v>
      </c>
      <c r="K271" s="90">
        <v>193</v>
      </c>
      <c r="L271" s="86"/>
      <c r="M271" s="86"/>
      <c r="N271" s="87"/>
      <c r="O271" s="86"/>
      <c r="P271" s="86"/>
      <c r="Q271" s="87"/>
    </row>
    <row r="272" spans="1:17" ht="45" customHeight="1">
      <c r="A272" s="81">
        <v>39</v>
      </c>
      <c r="B272" s="82"/>
      <c r="C272" s="101" t="s">
        <v>77</v>
      </c>
      <c r="D272" s="101" t="s">
        <v>117</v>
      </c>
      <c r="E272" s="84" t="s">
        <v>69</v>
      </c>
      <c r="F272" s="85"/>
      <c r="G272" s="85"/>
      <c r="H272" s="88"/>
      <c r="I272" s="85"/>
      <c r="J272" s="85"/>
      <c r="K272" s="88"/>
      <c r="L272" s="86"/>
      <c r="M272" s="86"/>
      <c r="N272" s="87"/>
      <c r="O272" s="86"/>
      <c r="P272" s="86"/>
      <c r="Q272" s="87"/>
    </row>
    <row r="273" spans="1:17" ht="14.45" customHeight="1">
      <c r="A273" s="81">
        <v>39</v>
      </c>
      <c r="B273" s="82"/>
      <c r="C273" s="101" t="s">
        <v>77</v>
      </c>
      <c r="D273" s="101" t="s">
        <v>117</v>
      </c>
      <c r="E273" s="84" t="s">
        <v>69</v>
      </c>
      <c r="F273" s="89">
        <v>2288</v>
      </c>
      <c r="G273" s="89">
        <v>10</v>
      </c>
      <c r="H273" s="88"/>
      <c r="I273" s="89">
        <v>1128</v>
      </c>
      <c r="J273" s="89">
        <v>10</v>
      </c>
      <c r="K273" s="88"/>
      <c r="L273" s="86"/>
      <c r="M273" s="86"/>
      <c r="N273" s="87"/>
      <c r="O273" s="86"/>
      <c r="P273" s="86"/>
      <c r="Q273" s="87"/>
    </row>
    <row r="274" spans="1:17" ht="24" customHeight="1">
      <c r="A274" s="91">
        <v>39</v>
      </c>
      <c r="B274" s="92"/>
      <c r="C274" s="102" t="s">
        <v>77</v>
      </c>
      <c r="D274" s="102" t="s">
        <v>117</v>
      </c>
      <c r="E274" s="94" t="s">
        <v>69</v>
      </c>
      <c r="F274" s="95" t="s">
        <v>56</v>
      </c>
      <c r="G274" s="96">
        <v>924000</v>
      </c>
      <c r="H274" s="97">
        <v>924000</v>
      </c>
      <c r="I274" s="95" t="s">
        <v>56</v>
      </c>
      <c r="J274" s="96">
        <v>686000</v>
      </c>
      <c r="K274" s="97">
        <v>686000</v>
      </c>
      <c r="L274" s="98"/>
      <c r="M274" s="98"/>
      <c r="N274" s="99"/>
      <c r="O274" s="98"/>
      <c r="P274" s="98"/>
      <c r="Q274" s="99"/>
    </row>
    <row r="275" spans="1:17" ht="14.45" customHeight="1">
      <c r="A275" s="75">
        <v>40</v>
      </c>
      <c r="B275" s="76"/>
      <c r="C275" s="100" t="s">
        <v>75</v>
      </c>
      <c r="D275" s="100" t="s">
        <v>117</v>
      </c>
      <c r="E275" s="78" t="s">
        <v>69</v>
      </c>
      <c r="F275" s="79" t="s">
        <v>50</v>
      </c>
      <c r="G275" s="79" t="s">
        <v>50</v>
      </c>
      <c r="H275" s="80" t="s">
        <v>50</v>
      </c>
      <c r="I275" s="79" t="s">
        <v>51</v>
      </c>
      <c r="J275" s="79" t="s">
        <v>51</v>
      </c>
      <c r="K275" s="80" t="s">
        <v>51</v>
      </c>
      <c r="L275" s="79"/>
      <c r="M275" s="79"/>
      <c r="N275" s="80"/>
      <c r="O275" s="79"/>
      <c r="P275" s="79"/>
      <c r="Q275" s="80"/>
    </row>
    <row r="276" spans="1:17" ht="60" customHeight="1">
      <c r="A276" s="81">
        <v>40</v>
      </c>
      <c r="B276" s="82"/>
      <c r="C276" s="101" t="s">
        <v>75</v>
      </c>
      <c r="D276" s="101" t="s">
        <v>117</v>
      </c>
      <c r="E276" s="84" t="s">
        <v>69</v>
      </c>
      <c r="F276" s="85"/>
      <c r="G276" s="86" t="s">
        <v>129</v>
      </c>
      <c r="H276" s="87" t="s">
        <v>129</v>
      </c>
      <c r="I276" s="85"/>
      <c r="J276" s="86" t="s">
        <v>129</v>
      </c>
      <c r="K276" s="87" t="s">
        <v>129</v>
      </c>
      <c r="L276" s="86"/>
      <c r="M276" s="86"/>
      <c r="N276" s="87"/>
      <c r="O276" s="86"/>
      <c r="P276" s="86"/>
      <c r="Q276" s="87"/>
    </row>
    <row r="277" spans="1:17" ht="45" customHeight="1">
      <c r="A277" s="81">
        <v>40</v>
      </c>
      <c r="B277" s="82"/>
      <c r="C277" s="101" t="s">
        <v>75</v>
      </c>
      <c r="D277" s="101" t="s">
        <v>117</v>
      </c>
      <c r="E277" s="84" t="s">
        <v>69</v>
      </c>
      <c r="F277" s="85"/>
      <c r="G277" s="85"/>
      <c r="H277" s="88"/>
      <c r="I277" s="85"/>
      <c r="J277" s="85"/>
      <c r="K277" s="88"/>
      <c r="L277" s="86"/>
      <c r="M277" s="86"/>
      <c r="N277" s="87"/>
      <c r="O277" s="86"/>
      <c r="P277" s="86"/>
      <c r="Q277" s="87"/>
    </row>
    <row r="278" spans="1:17" ht="14.45" customHeight="1">
      <c r="A278" s="81">
        <v>40</v>
      </c>
      <c r="B278" s="82"/>
      <c r="C278" s="101" t="s">
        <v>75</v>
      </c>
      <c r="D278" s="101" t="s">
        <v>117</v>
      </c>
      <c r="E278" s="84" t="s">
        <v>69</v>
      </c>
      <c r="F278" s="89">
        <v>488</v>
      </c>
      <c r="G278" s="89">
        <v>622</v>
      </c>
      <c r="H278" s="90">
        <v>500</v>
      </c>
      <c r="I278" s="89">
        <v>35</v>
      </c>
      <c r="J278" s="89">
        <v>14</v>
      </c>
      <c r="K278" s="90">
        <v>193</v>
      </c>
      <c r="L278" s="86"/>
      <c r="M278" s="86"/>
      <c r="N278" s="87"/>
      <c r="O278" s="86"/>
      <c r="P278" s="86"/>
      <c r="Q278" s="87"/>
    </row>
    <row r="279" spans="1:17" ht="45" customHeight="1">
      <c r="A279" s="81">
        <v>40</v>
      </c>
      <c r="B279" s="82"/>
      <c r="C279" s="101" t="s">
        <v>75</v>
      </c>
      <c r="D279" s="101" t="s">
        <v>117</v>
      </c>
      <c r="E279" s="84" t="s">
        <v>69</v>
      </c>
      <c r="F279" s="85"/>
      <c r="G279" s="85"/>
      <c r="H279" s="88"/>
      <c r="I279" s="85"/>
      <c r="J279" s="85"/>
      <c r="K279" s="88"/>
      <c r="L279" s="86"/>
      <c r="M279" s="86"/>
      <c r="N279" s="87"/>
      <c r="O279" s="86"/>
      <c r="P279" s="86"/>
      <c r="Q279" s="87"/>
    </row>
    <row r="280" spans="1:17" ht="14.45" customHeight="1">
      <c r="A280" s="81">
        <v>40</v>
      </c>
      <c r="B280" s="82"/>
      <c r="C280" s="101" t="s">
        <v>75</v>
      </c>
      <c r="D280" s="101" t="s">
        <v>117</v>
      </c>
      <c r="E280" s="84" t="s">
        <v>69</v>
      </c>
      <c r="F280" s="89">
        <v>2288</v>
      </c>
      <c r="G280" s="89">
        <v>10</v>
      </c>
      <c r="H280" s="88"/>
      <c r="I280" s="89">
        <v>1128</v>
      </c>
      <c r="J280" s="89">
        <v>10</v>
      </c>
      <c r="K280" s="88"/>
      <c r="L280" s="86"/>
      <c r="M280" s="86"/>
      <c r="N280" s="87"/>
      <c r="O280" s="86"/>
      <c r="P280" s="86"/>
      <c r="Q280" s="87"/>
    </row>
    <row r="281" spans="1:17" ht="24" customHeight="1">
      <c r="A281" s="91">
        <v>40</v>
      </c>
      <c r="B281" s="92"/>
      <c r="C281" s="102" t="s">
        <v>75</v>
      </c>
      <c r="D281" s="102" t="s">
        <v>117</v>
      </c>
      <c r="E281" s="94" t="s">
        <v>69</v>
      </c>
      <c r="F281" s="95" t="s">
        <v>56</v>
      </c>
      <c r="G281" s="96">
        <v>924000</v>
      </c>
      <c r="H281" s="97">
        <v>924000</v>
      </c>
      <c r="I281" s="95" t="s">
        <v>56</v>
      </c>
      <c r="J281" s="96">
        <v>686000</v>
      </c>
      <c r="K281" s="97">
        <v>686000</v>
      </c>
      <c r="L281" s="98"/>
      <c r="M281" s="98"/>
      <c r="N281" s="99"/>
      <c r="O281" s="98"/>
      <c r="P281" s="98"/>
      <c r="Q281" s="99"/>
    </row>
    <row r="282" spans="1:17" ht="14.45" customHeight="1">
      <c r="A282" s="75">
        <v>41</v>
      </c>
      <c r="B282" s="76"/>
      <c r="C282" s="100" t="s">
        <v>80</v>
      </c>
      <c r="D282" s="100" t="s">
        <v>117</v>
      </c>
      <c r="E282" s="78" t="s">
        <v>79</v>
      </c>
      <c r="F282" s="79" t="s">
        <v>50</v>
      </c>
      <c r="G282" s="79" t="s">
        <v>50</v>
      </c>
      <c r="H282" s="80" t="s">
        <v>50</v>
      </c>
      <c r="I282" s="79" t="s">
        <v>51</v>
      </c>
      <c r="J282" s="79" t="s">
        <v>51</v>
      </c>
      <c r="K282" s="80" t="s">
        <v>51</v>
      </c>
      <c r="L282" s="79" t="s">
        <v>52</v>
      </c>
      <c r="M282" s="79" t="s">
        <v>52</v>
      </c>
      <c r="N282" s="80" t="s">
        <v>52</v>
      </c>
      <c r="O282" s="79" t="s">
        <v>53</v>
      </c>
      <c r="P282" s="79" t="s">
        <v>53</v>
      </c>
      <c r="Q282" s="80" t="s">
        <v>53</v>
      </c>
    </row>
    <row r="283" spans="1:17" ht="60" customHeight="1">
      <c r="A283" s="81">
        <v>41</v>
      </c>
      <c r="B283" s="82"/>
      <c r="C283" s="101" t="s">
        <v>80</v>
      </c>
      <c r="D283" s="101" t="s">
        <v>117</v>
      </c>
      <c r="E283" s="84" t="s">
        <v>79</v>
      </c>
      <c r="F283" s="85"/>
      <c r="G283" s="86" t="s">
        <v>130</v>
      </c>
      <c r="H283" s="87" t="s">
        <v>130</v>
      </c>
      <c r="I283" s="85"/>
      <c r="J283" s="86" t="s">
        <v>131</v>
      </c>
      <c r="K283" s="87" t="s">
        <v>131</v>
      </c>
      <c r="L283" s="85"/>
      <c r="M283" s="86" t="s">
        <v>130</v>
      </c>
      <c r="N283" s="87" t="s">
        <v>130</v>
      </c>
      <c r="O283" s="85"/>
      <c r="P283" s="86" t="s">
        <v>131</v>
      </c>
      <c r="Q283" s="87" t="s">
        <v>131</v>
      </c>
    </row>
    <row r="284" spans="1:17" ht="45" customHeight="1">
      <c r="A284" s="81">
        <v>41</v>
      </c>
      <c r="B284" s="82"/>
      <c r="C284" s="101" t="s">
        <v>80</v>
      </c>
      <c r="D284" s="101" t="s">
        <v>117</v>
      </c>
      <c r="E284" s="84" t="s">
        <v>79</v>
      </c>
      <c r="F284" s="85"/>
      <c r="G284" s="85"/>
      <c r="H284" s="88"/>
      <c r="I284" s="85"/>
      <c r="J284" s="85"/>
      <c r="K284" s="88"/>
      <c r="L284" s="85"/>
      <c r="M284" s="85"/>
      <c r="N284" s="88"/>
      <c r="O284" s="85"/>
      <c r="P284" s="85"/>
      <c r="Q284" s="88"/>
    </row>
    <row r="285" spans="1:17" ht="14.45" customHeight="1">
      <c r="A285" s="81">
        <v>41</v>
      </c>
      <c r="B285" s="82"/>
      <c r="C285" s="101" t="s">
        <v>80</v>
      </c>
      <c r="D285" s="101" t="s">
        <v>117</v>
      </c>
      <c r="E285" s="84" t="s">
        <v>79</v>
      </c>
      <c r="F285" s="89">
        <v>553</v>
      </c>
      <c r="G285" s="89">
        <v>2109</v>
      </c>
      <c r="H285" s="90">
        <v>586</v>
      </c>
      <c r="I285" s="89">
        <v>553</v>
      </c>
      <c r="J285" s="89">
        <v>2109</v>
      </c>
      <c r="K285" s="90">
        <v>586</v>
      </c>
      <c r="L285" s="89">
        <v>835</v>
      </c>
      <c r="M285" s="89">
        <v>1036</v>
      </c>
      <c r="N285" s="90">
        <v>121</v>
      </c>
      <c r="O285" s="89">
        <v>835</v>
      </c>
      <c r="P285" s="89">
        <v>1036</v>
      </c>
      <c r="Q285" s="90">
        <v>121</v>
      </c>
    </row>
    <row r="286" spans="1:17" ht="45" customHeight="1">
      <c r="A286" s="81">
        <v>41</v>
      </c>
      <c r="B286" s="82"/>
      <c r="C286" s="101" t="s">
        <v>80</v>
      </c>
      <c r="D286" s="101" t="s">
        <v>117</v>
      </c>
      <c r="E286" s="84" t="s">
        <v>79</v>
      </c>
      <c r="F286" s="85"/>
      <c r="G286" s="85"/>
      <c r="H286" s="88"/>
      <c r="I286" s="85"/>
      <c r="J286" s="85"/>
      <c r="K286" s="88"/>
      <c r="L286" s="85"/>
      <c r="M286" s="85"/>
      <c r="N286" s="88"/>
      <c r="O286" s="85"/>
      <c r="P286" s="85"/>
      <c r="Q286" s="88"/>
    </row>
    <row r="287" spans="1:17" ht="14.45" customHeight="1">
      <c r="A287" s="81">
        <v>41</v>
      </c>
      <c r="B287" s="82"/>
      <c r="C287" s="101" t="s">
        <v>80</v>
      </c>
      <c r="D287" s="101" t="s">
        <v>117</v>
      </c>
      <c r="E287" s="84" t="s">
        <v>79</v>
      </c>
      <c r="F287" s="89">
        <v>464</v>
      </c>
      <c r="G287" s="89">
        <v>432</v>
      </c>
      <c r="H287" s="90">
        <v>10</v>
      </c>
      <c r="I287" s="89">
        <v>464</v>
      </c>
      <c r="J287" s="89">
        <v>432</v>
      </c>
      <c r="K287" s="90">
        <v>10</v>
      </c>
      <c r="L287" s="89">
        <v>32</v>
      </c>
      <c r="M287" s="89">
        <v>14</v>
      </c>
      <c r="N287" s="90">
        <v>10</v>
      </c>
      <c r="O287" s="89">
        <v>32</v>
      </c>
      <c r="P287" s="89">
        <v>14</v>
      </c>
      <c r="Q287" s="90">
        <v>10</v>
      </c>
    </row>
    <row r="288" spans="1:17" ht="24" customHeight="1">
      <c r="A288" s="91">
        <v>41</v>
      </c>
      <c r="B288" s="92"/>
      <c r="C288" s="102" t="s">
        <v>80</v>
      </c>
      <c r="D288" s="102" t="s">
        <v>117</v>
      </c>
      <c r="E288" s="94" t="s">
        <v>79</v>
      </c>
      <c r="F288" s="95" t="s">
        <v>56</v>
      </c>
      <c r="G288" s="96">
        <v>959000</v>
      </c>
      <c r="H288" s="97">
        <v>959000</v>
      </c>
      <c r="I288" s="95" t="s">
        <v>56</v>
      </c>
      <c r="J288" s="96">
        <v>959000</v>
      </c>
      <c r="K288" s="97">
        <v>959000</v>
      </c>
      <c r="L288" s="95" t="s">
        <v>56</v>
      </c>
      <c r="M288" s="96">
        <v>891000</v>
      </c>
      <c r="N288" s="97">
        <v>891000</v>
      </c>
      <c r="O288" s="95" t="s">
        <v>56</v>
      </c>
      <c r="P288" s="96">
        <v>891000</v>
      </c>
      <c r="Q288" s="97">
        <v>891000</v>
      </c>
    </row>
    <row r="289" spans="1:17" ht="14.45" customHeight="1">
      <c r="A289" s="75">
        <v>42</v>
      </c>
      <c r="B289" s="76"/>
      <c r="C289" s="100" t="s">
        <v>86</v>
      </c>
      <c r="D289" s="100" t="s">
        <v>117</v>
      </c>
      <c r="E289" s="78" t="s">
        <v>82</v>
      </c>
      <c r="F289" s="79" t="s">
        <v>50</v>
      </c>
      <c r="G289" s="79" t="s">
        <v>50</v>
      </c>
      <c r="H289" s="80" t="s">
        <v>50</v>
      </c>
      <c r="I289" s="79" t="s">
        <v>51</v>
      </c>
      <c r="J289" s="79" t="s">
        <v>51</v>
      </c>
      <c r="K289" s="80" t="s">
        <v>51</v>
      </c>
      <c r="L289" s="79"/>
      <c r="M289" s="79"/>
      <c r="N289" s="80"/>
      <c r="O289" s="79"/>
      <c r="P289" s="79"/>
      <c r="Q289" s="80"/>
    </row>
    <row r="290" spans="1:17" ht="60" customHeight="1">
      <c r="A290" s="81">
        <v>42</v>
      </c>
      <c r="B290" s="82"/>
      <c r="C290" s="101" t="s">
        <v>86</v>
      </c>
      <c r="D290" s="101" t="s">
        <v>117</v>
      </c>
      <c r="E290" s="84" t="s">
        <v>82</v>
      </c>
      <c r="F290" s="85"/>
      <c r="G290" s="86" t="s">
        <v>132</v>
      </c>
      <c r="H290" s="87" t="s">
        <v>132</v>
      </c>
      <c r="I290" s="85"/>
      <c r="J290" s="86" t="s">
        <v>132</v>
      </c>
      <c r="K290" s="87" t="s">
        <v>132</v>
      </c>
      <c r="L290" s="86"/>
      <c r="M290" s="86"/>
      <c r="N290" s="87"/>
      <c r="O290" s="86"/>
      <c r="P290" s="86"/>
      <c r="Q290" s="87"/>
    </row>
    <row r="291" spans="1:17" ht="45" customHeight="1">
      <c r="A291" s="81">
        <v>42</v>
      </c>
      <c r="B291" s="82"/>
      <c r="C291" s="101" t="s">
        <v>86</v>
      </c>
      <c r="D291" s="101" t="s">
        <v>117</v>
      </c>
      <c r="E291" s="84" t="s">
        <v>82</v>
      </c>
      <c r="F291" s="85"/>
      <c r="G291" s="85"/>
      <c r="H291" s="88"/>
      <c r="I291" s="85"/>
      <c r="J291" s="85"/>
      <c r="K291" s="88"/>
      <c r="L291" s="86"/>
      <c r="M291" s="86"/>
      <c r="N291" s="87"/>
      <c r="O291" s="86"/>
      <c r="P291" s="86"/>
      <c r="Q291" s="87"/>
    </row>
    <row r="292" spans="1:17" ht="14.45" customHeight="1">
      <c r="A292" s="81">
        <v>42</v>
      </c>
      <c r="B292" s="82"/>
      <c r="C292" s="101" t="s">
        <v>86</v>
      </c>
      <c r="D292" s="101" t="s">
        <v>117</v>
      </c>
      <c r="E292" s="84" t="s">
        <v>82</v>
      </c>
      <c r="F292" s="89">
        <v>416</v>
      </c>
      <c r="G292" s="89">
        <v>531</v>
      </c>
      <c r="H292" s="90">
        <v>501</v>
      </c>
      <c r="I292" s="89">
        <v>29</v>
      </c>
      <c r="J292" s="89">
        <v>12</v>
      </c>
      <c r="K292" s="90">
        <v>1024</v>
      </c>
      <c r="L292" s="86"/>
      <c r="M292" s="86"/>
      <c r="N292" s="87"/>
      <c r="O292" s="86"/>
      <c r="P292" s="86"/>
      <c r="Q292" s="87"/>
    </row>
    <row r="293" spans="1:17" ht="45" customHeight="1">
      <c r="A293" s="81">
        <v>42</v>
      </c>
      <c r="B293" s="82"/>
      <c r="C293" s="101" t="s">
        <v>86</v>
      </c>
      <c r="D293" s="101" t="s">
        <v>117</v>
      </c>
      <c r="E293" s="84" t="s">
        <v>82</v>
      </c>
      <c r="F293" s="85"/>
      <c r="G293" s="85"/>
      <c r="H293" s="88"/>
      <c r="I293" s="85"/>
      <c r="J293" s="85"/>
      <c r="K293" s="88"/>
      <c r="L293" s="86"/>
      <c r="M293" s="86"/>
      <c r="N293" s="87"/>
      <c r="O293" s="86"/>
      <c r="P293" s="86"/>
      <c r="Q293" s="87"/>
    </row>
    <row r="294" spans="1:17" ht="14.45" customHeight="1">
      <c r="A294" s="81">
        <v>42</v>
      </c>
      <c r="B294" s="82"/>
      <c r="C294" s="101" t="s">
        <v>86</v>
      </c>
      <c r="D294" s="101" t="s">
        <v>117</v>
      </c>
      <c r="E294" s="84" t="s">
        <v>82</v>
      </c>
      <c r="F294" s="89">
        <v>506</v>
      </c>
      <c r="G294" s="89">
        <v>2034</v>
      </c>
      <c r="H294" s="90">
        <v>10</v>
      </c>
      <c r="I294" s="89">
        <v>163</v>
      </c>
      <c r="J294" s="89">
        <v>769</v>
      </c>
      <c r="K294" s="90">
        <v>10</v>
      </c>
      <c r="L294" s="86"/>
      <c r="M294" s="86"/>
      <c r="N294" s="87"/>
      <c r="O294" s="86"/>
      <c r="P294" s="86"/>
      <c r="Q294" s="87"/>
    </row>
    <row r="295" spans="1:17" ht="24" customHeight="1">
      <c r="A295" s="91">
        <v>42</v>
      </c>
      <c r="B295" s="92"/>
      <c r="C295" s="102" t="s">
        <v>86</v>
      </c>
      <c r="D295" s="102" t="s">
        <v>117</v>
      </c>
      <c r="E295" s="94" t="s">
        <v>82</v>
      </c>
      <c r="F295" s="95" t="s">
        <v>56</v>
      </c>
      <c r="G295" s="96">
        <v>941000</v>
      </c>
      <c r="H295" s="97">
        <v>941000</v>
      </c>
      <c r="I295" s="95" t="s">
        <v>56</v>
      </c>
      <c r="J295" s="96">
        <v>849000</v>
      </c>
      <c r="K295" s="97">
        <v>849000</v>
      </c>
      <c r="L295" s="98"/>
      <c r="M295" s="98"/>
      <c r="N295" s="99"/>
      <c r="O295" s="98"/>
      <c r="P295" s="98"/>
      <c r="Q295" s="99"/>
    </row>
    <row r="296" spans="1:17" ht="14.45" customHeight="1">
      <c r="A296" s="75">
        <v>43</v>
      </c>
      <c r="B296" s="76"/>
      <c r="C296" s="100" t="s">
        <v>85</v>
      </c>
      <c r="D296" s="100" t="s">
        <v>117</v>
      </c>
      <c r="E296" s="78" t="s">
        <v>82</v>
      </c>
      <c r="F296" s="79" t="s">
        <v>50</v>
      </c>
      <c r="G296" s="79" t="s">
        <v>50</v>
      </c>
      <c r="H296" s="80" t="s">
        <v>50</v>
      </c>
      <c r="I296" s="79" t="s">
        <v>51</v>
      </c>
      <c r="J296" s="79" t="s">
        <v>51</v>
      </c>
      <c r="K296" s="80" t="s">
        <v>51</v>
      </c>
      <c r="L296" s="79"/>
      <c r="M296" s="79"/>
      <c r="N296" s="80"/>
      <c r="O296" s="79"/>
      <c r="P296" s="79"/>
      <c r="Q296" s="80"/>
    </row>
    <row r="297" spans="1:17" ht="60" customHeight="1">
      <c r="A297" s="81">
        <v>43</v>
      </c>
      <c r="B297" s="82"/>
      <c r="C297" s="101" t="s">
        <v>85</v>
      </c>
      <c r="D297" s="101" t="s">
        <v>117</v>
      </c>
      <c r="E297" s="84" t="s">
        <v>82</v>
      </c>
      <c r="F297" s="85"/>
      <c r="G297" s="86" t="s">
        <v>133</v>
      </c>
      <c r="H297" s="87" t="s">
        <v>133</v>
      </c>
      <c r="I297" s="85"/>
      <c r="J297" s="86" t="s">
        <v>133</v>
      </c>
      <c r="K297" s="87" t="s">
        <v>133</v>
      </c>
      <c r="L297" s="86"/>
      <c r="M297" s="86"/>
      <c r="N297" s="87"/>
      <c r="O297" s="86"/>
      <c r="P297" s="86"/>
      <c r="Q297" s="87"/>
    </row>
    <row r="298" spans="1:17" ht="45" customHeight="1">
      <c r="A298" s="81">
        <v>43</v>
      </c>
      <c r="B298" s="82"/>
      <c r="C298" s="101" t="s">
        <v>85</v>
      </c>
      <c r="D298" s="101" t="s">
        <v>117</v>
      </c>
      <c r="E298" s="84" t="s">
        <v>82</v>
      </c>
      <c r="F298" s="85"/>
      <c r="G298" s="85"/>
      <c r="H298" s="88"/>
      <c r="I298" s="85"/>
      <c r="J298" s="85"/>
      <c r="K298" s="88"/>
      <c r="L298" s="86"/>
      <c r="M298" s="86"/>
      <c r="N298" s="87"/>
      <c r="O298" s="86"/>
      <c r="P298" s="86"/>
      <c r="Q298" s="87"/>
    </row>
    <row r="299" spans="1:17" ht="14.45" customHeight="1">
      <c r="A299" s="81">
        <v>43</v>
      </c>
      <c r="B299" s="82"/>
      <c r="C299" s="101" t="s">
        <v>85</v>
      </c>
      <c r="D299" s="101" t="s">
        <v>117</v>
      </c>
      <c r="E299" s="84" t="s">
        <v>82</v>
      </c>
      <c r="F299" s="89">
        <v>416</v>
      </c>
      <c r="G299" s="89">
        <v>531</v>
      </c>
      <c r="H299" s="90">
        <v>501</v>
      </c>
      <c r="I299" s="89">
        <v>29</v>
      </c>
      <c r="J299" s="89">
        <v>12</v>
      </c>
      <c r="K299" s="90">
        <v>1024</v>
      </c>
      <c r="L299" s="86"/>
      <c r="M299" s="86"/>
      <c r="N299" s="87"/>
      <c r="O299" s="86"/>
      <c r="P299" s="86"/>
      <c r="Q299" s="87"/>
    </row>
    <row r="300" spans="1:17" ht="45" customHeight="1">
      <c r="A300" s="81">
        <v>43</v>
      </c>
      <c r="B300" s="82"/>
      <c r="C300" s="101" t="s">
        <v>85</v>
      </c>
      <c r="D300" s="101" t="s">
        <v>117</v>
      </c>
      <c r="E300" s="84" t="s">
        <v>82</v>
      </c>
      <c r="F300" s="85"/>
      <c r="G300" s="85"/>
      <c r="H300" s="88"/>
      <c r="I300" s="85"/>
      <c r="J300" s="85"/>
      <c r="K300" s="88"/>
      <c r="L300" s="86"/>
      <c r="M300" s="86"/>
      <c r="N300" s="87"/>
      <c r="O300" s="86"/>
      <c r="P300" s="86"/>
      <c r="Q300" s="87"/>
    </row>
    <row r="301" spans="1:17" ht="14.45" customHeight="1">
      <c r="A301" s="81">
        <v>43</v>
      </c>
      <c r="B301" s="82"/>
      <c r="C301" s="101" t="s">
        <v>85</v>
      </c>
      <c r="D301" s="101" t="s">
        <v>117</v>
      </c>
      <c r="E301" s="84" t="s">
        <v>82</v>
      </c>
      <c r="F301" s="89">
        <v>506</v>
      </c>
      <c r="G301" s="89">
        <v>2034</v>
      </c>
      <c r="H301" s="90">
        <v>10</v>
      </c>
      <c r="I301" s="89">
        <v>163</v>
      </c>
      <c r="J301" s="89">
        <v>769</v>
      </c>
      <c r="K301" s="90">
        <v>10</v>
      </c>
      <c r="L301" s="86"/>
      <c r="M301" s="86"/>
      <c r="N301" s="87"/>
      <c r="O301" s="86"/>
      <c r="P301" s="86"/>
      <c r="Q301" s="87"/>
    </row>
    <row r="302" spans="1:17" ht="24" customHeight="1">
      <c r="A302" s="91">
        <v>43</v>
      </c>
      <c r="B302" s="92"/>
      <c r="C302" s="102" t="s">
        <v>85</v>
      </c>
      <c r="D302" s="102" t="s">
        <v>117</v>
      </c>
      <c r="E302" s="94" t="s">
        <v>82</v>
      </c>
      <c r="F302" s="95" t="s">
        <v>56</v>
      </c>
      <c r="G302" s="96">
        <v>941000</v>
      </c>
      <c r="H302" s="97">
        <v>941000</v>
      </c>
      <c r="I302" s="95" t="s">
        <v>56</v>
      </c>
      <c r="J302" s="96">
        <v>849000</v>
      </c>
      <c r="K302" s="97">
        <v>849000</v>
      </c>
      <c r="L302" s="98"/>
      <c r="M302" s="98"/>
      <c r="N302" s="99"/>
      <c r="O302" s="98"/>
      <c r="P302" s="98"/>
      <c r="Q302" s="99"/>
    </row>
    <row r="303" spans="1:17" ht="14.45" customHeight="1">
      <c r="A303" s="75">
        <v>44</v>
      </c>
      <c r="B303" s="76"/>
      <c r="C303" s="100" t="s">
        <v>83</v>
      </c>
      <c r="D303" s="100" t="s">
        <v>117</v>
      </c>
      <c r="E303" s="78" t="s">
        <v>82</v>
      </c>
      <c r="F303" s="79" t="s">
        <v>50</v>
      </c>
      <c r="G303" s="79" t="s">
        <v>50</v>
      </c>
      <c r="H303" s="80" t="s">
        <v>50</v>
      </c>
      <c r="I303" s="79" t="s">
        <v>51</v>
      </c>
      <c r="J303" s="79" t="s">
        <v>51</v>
      </c>
      <c r="K303" s="80" t="s">
        <v>51</v>
      </c>
      <c r="L303" s="79"/>
      <c r="M303" s="79"/>
      <c r="N303" s="80"/>
      <c r="O303" s="79"/>
      <c r="P303" s="79"/>
      <c r="Q303" s="80"/>
    </row>
    <row r="304" spans="1:17" ht="60" customHeight="1">
      <c r="A304" s="81">
        <v>44</v>
      </c>
      <c r="B304" s="82"/>
      <c r="C304" s="101" t="s">
        <v>83</v>
      </c>
      <c r="D304" s="101" t="s">
        <v>117</v>
      </c>
      <c r="E304" s="84" t="s">
        <v>82</v>
      </c>
      <c r="F304" s="85"/>
      <c r="G304" s="86" t="s">
        <v>132</v>
      </c>
      <c r="H304" s="87" t="s">
        <v>132</v>
      </c>
      <c r="I304" s="85"/>
      <c r="J304" s="86" t="s">
        <v>132</v>
      </c>
      <c r="K304" s="87" t="s">
        <v>132</v>
      </c>
      <c r="L304" s="86"/>
      <c r="M304" s="86"/>
      <c r="N304" s="87"/>
      <c r="O304" s="86"/>
      <c r="P304" s="86"/>
      <c r="Q304" s="87"/>
    </row>
    <row r="305" spans="1:17" ht="45" customHeight="1">
      <c r="A305" s="81">
        <v>44</v>
      </c>
      <c r="B305" s="82"/>
      <c r="C305" s="101" t="s">
        <v>83</v>
      </c>
      <c r="D305" s="101" t="s">
        <v>117</v>
      </c>
      <c r="E305" s="84" t="s">
        <v>82</v>
      </c>
      <c r="F305" s="85"/>
      <c r="G305" s="85"/>
      <c r="H305" s="88"/>
      <c r="I305" s="85"/>
      <c r="J305" s="85"/>
      <c r="K305" s="88"/>
      <c r="L305" s="86"/>
      <c r="M305" s="86"/>
      <c r="N305" s="87"/>
      <c r="O305" s="86"/>
      <c r="P305" s="86"/>
      <c r="Q305" s="87"/>
    </row>
    <row r="306" spans="1:17" ht="14.45" customHeight="1">
      <c r="A306" s="81">
        <v>44</v>
      </c>
      <c r="B306" s="82"/>
      <c r="C306" s="101" t="s">
        <v>83</v>
      </c>
      <c r="D306" s="101" t="s">
        <v>117</v>
      </c>
      <c r="E306" s="84" t="s">
        <v>82</v>
      </c>
      <c r="F306" s="89">
        <v>416</v>
      </c>
      <c r="G306" s="89">
        <v>531</v>
      </c>
      <c r="H306" s="90">
        <v>501</v>
      </c>
      <c r="I306" s="89">
        <v>29</v>
      </c>
      <c r="J306" s="89">
        <v>12</v>
      </c>
      <c r="K306" s="90">
        <v>1024</v>
      </c>
      <c r="L306" s="86"/>
      <c r="M306" s="86"/>
      <c r="N306" s="87"/>
      <c r="O306" s="86"/>
      <c r="P306" s="86"/>
      <c r="Q306" s="87"/>
    </row>
    <row r="307" spans="1:17" ht="45" customHeight="1">
      <c r="A307" s="81">
        <v>44</v>
      </c>
      <c r="B307" s="82"/>
      <c r="C307" s="101" t="s">
        <v>83</v>
      </c>
      <c r="D307" s="101" t="s">
        <v>117</v>
      </c>
      <c r="E307" s="84" t="s">
        <v>82</v>
      </c>
      <c r="F307" s="85"/>
      <c r="G307" s="85"/>
      <c r="H307" s="88"/>
      <c r="I307" s="85"/>
      <c r="J307" s="85"/>
      <c r="K307" s="88"/>
      <c r="L307" s="86"/>
      <c r="M307" s="86"/>
      <c r="N307" s="87"/>
      <c r="O307" s="86"/>
      <c r="P307" s="86"/>
      <c r="Q307" s="87"/>
    </row>
    <row r="308" spans="1:17" ht="14.45" customHeight="1">
      <c r="A308" s="81">
        <v>44</v>
      </c>
      <c r="B308" s="82"/>
      <c r="C308" s="101" t="s">
        <v>83</v>
      </c>
      <c r="D308" s="101" t="s">
        <v>117</v>
      </c>
      <c r="E308" s="84" t="s">
        <v>82</v>
      </c>
      <c r="F308" s="89">
        <v>506</v>
      </c>
      <c r="G308" s="89">
        <v>2034</v>
      </c>
      <c r="H308" s="90">
        <v>10</v>
      </c>
      <c r="I308" s="89">
        <v>163</v>
      </c>
      <c r="J308" s="89">
        <v>769</v>
      </c>
      <c r="K308" s="90">
        <v>10</v>
      </c>
      <c r="L308" s="86"/>
      <c r="M308" s="86"/>
      <c r="N308" s="87"/>
      <c r="O308" s="86"/>
      <c r="P308" s="86"/>
      <c r="Q308" s="87"/>
    </row>
    <row r="309" spans="1:17" ht="24" customHeight="1">
      <c r="A309" s="91">
        <v>44</v>
      </c>
      <c r="B309" s="92"/>
      <c r="C309" s="102" t="s">
        <v>83</v>
      </c>
      <c r="D309" s="102" t="s">
        <v>117</v>
      </c>
      <c r="E309" s="94" t="s">
        <v>82</v>
      </c>
      <c r="F309" s="95" t="s">
        <v>56</v>
      </c>
      <c r="G309" s="96">
        <v>941000</v>
      </c>
      <c r="H309" s="97">
        <v>941000</v>
      </c>
      <c r="I309" s="95" t="s">
        <v>56</v>
      </c>
      <c r="J309" s="96">
        <v>849000</v>
      </c>
      <c r="K309" s="97">
        <v>849000</v>
      </c>
      <c r="L309" s="98"/>
      <c r="M309" s="98"/>
      <c r="N309" s="99"/>
      <c r="O309" s="98"/>
      <c r="P309" s="98"/>
      <c r="Q309" s="99"/>
    </row>
    <row r="310" spans="1:17" ht="14.45" customHeight="1">
      <c r="A310" s="75">
        <v>45</v>
      </c>
      <c r="B310" s="76"/>
      <c r="C310" s="100" t="s">
        <v>88</v>
      </c>
      <c r="D310" s="100" t="s">
        <v>117</v>
      </c>
      <c r="E310" s="78" t="s">
        <v>82</v>
      </c>
      <c r="F310" s="79" t="s">
        <v>50</v>
      </c>
      <c r="G310" s="79" t="s">
        <v>50</v>
      </c>
      <c r="H310" s="80" t="s">
        <v>50</v>
      </c>
      <c r="I310" s="79" t="s">
        <v>51</v>
      </c>
      <c r="J310" s="79" t="s">
        <v>51</v>
      </c>
      <c r="K310" s="80" t="s">
        <v>51</v>
      </c>
      <c r="L310" s="79"/>
      <c r="M310" s="79"/>
      <c r="N310" s="80"/>
      <c r="O310" s="79"/>
      <c r="P310" s="79"/>
      <c r="Q310" s="80"/>
    </row>
    <row r="311" spans="1:17" ht="60" customHeight="1">
      <c r="A311" s="81">
        <v>45</v>
      </c>
      <c r="B311" s="82"/>
      <c r="C311" s="101" t="s">
        <v>88</v>
      </c>
      <c r="D311" s="101" t="s">
        <v>117</v>
      </c>
      <c r="E311" s="84" t="s">
        <v>82</v>
      </c>
      <c r="F311" s="85"/>
      <c r="G311" s="86" t="s">
        <v>134</v>
      </c>
      <c r="H311" s="87" t="s">
        <v>134</v>
      </c>
      <c r="I311" s="85"/>
      <c r="J311" s="86" t="s">
        <v>134</v>
      </c>
      <c r="K311" s="87" t="s">
        <v>134</v>
      </c>
      <c r="L311" s="86"/>
      <c r="M311" s="86"/>
      <c r="N311" s="87"/>
      <c r="O311" s="86"/>
      <c r="P311" s="86"/>
      <c r="Q311" s="87"/>
    </row>
    <row r="312" spans="1:17" ht="45" customHeight="1">
      <c r="A312" s="81">
        <v>45</v>
      </c>
      <c r="B312" s="82"/>
      <c r="C312" s="101" t="s">
        <v>88</v>
      </c>
      <c r="D312" s="101" t="s">
        <v>117</v>
      </c>
      <c r="E312" s="84" t="s">
        <v>82</v>
      </c>
      <c r="F312" s="85"/>
      <c r="G312" s="85"/>
      <c r="H312" s="88"/>
      <c r="I312" s="85"/>
      <c r="J312" s="85"/>
      <c r="K312" s="88"/>
      <c r="L312" s="86"/>
      <c r="M312" s="86"/>
      <c r="N312" s="87"/>
      <c r="O312" s="86"/>
      <c r="P312" s="86"/>
      <c r="Q312" s="87"/>
    </row>
    <row r="313" spans="1:17" ht="14.45" customHeight="1">
      <c r="A313" s="81">
        <v>45</v>
      </c>
      <c r="B313" s="82"/>
      <c r="C313" s="101" t="s">
        <v>88</v>
      </c>
      <c r="D313" s="101" t="s">
        <v>117</v>
      </c>
      <c r="E313" s="84" t="s">
        <v>82</v>
      </c>
      <c r="F313" s="89">
        <v>416</v>
      </c>
      <c r="G313" s="89">
        <v>630</v>
      </c>
      <c r="H313" s="90">
        <v>501</v>
      </c>
      <c r="I313" s="89">
        <v>29</v>
      </c>
      <c r="J313" s="89">
        <v>12</v>
      </c>
      <c r="K313" s="90">
        <v>872</v>
      </c>
      <c r="L313" s="86"/>
      <c r="M313" s="86"/>
      <c r="N313" s="87"/>
      <c r="O313" s="86"/>
      <c r="P313" s="86"/>
      <c r="Q313" s="87"/>
    </row>
    <row r="314" spans="1:17" ht="45" customHeight="1">
      <c r="A314" s="81">
        <v>45</v>
      </c>
      <c r="B314" s="82"/>
      <c r="C314" s="101" t="s">
        <v>88</v>
      </c>
      <c r="D314" s="101" t="s">
        <v>117</v>
      </c>
      <c r="E314" s="84" t="s">
        <v>82</v>
      </c>
      <c r="F314" s="85"/>
      <c r="G314" s="85"/>
      <c r="H314" s="88"/>
      <c r="I314" s="85"/>
      <c r="J314" s="85"/>
      <c r="K314" s="88"/>
      <c r="L314" s="86"/>
      <c r="M314" s="86"/>
      <c r="N314" s="87"/>
      <c r="O314" s="86"/>
      <c r="P314" s="86"/>
      <c r="Q314" s="87"/>
    </row>
    <row r="315" spans="1:17" ht="14.45" customHeight="1">
      <c r="A315" s="81">
        <v>45</v>
      </c>
      <c r="B315" s="82"/>
      <c r="C315" s="101" t="s">
        <v>88</v>
      </c>
      <c r="D315" s="101" t="s">
        <v>117</v>
      </c>
      <c r="E315" s="84" t="s">
        <v>82</v>
      </c>
      <c r="F315" s="89">
        <v>426</v>
      </c>
      <c r="G315" s="89">
        <v>2034</v>
      </c>
      <c r="H315" s="90">
        <v>10</v>
      </c>
      <c r="I315" s="89">
        <v>163</v>
      </c>
      <c r="J315" s="89">
        <v>902</v>
      </c>
      <c r="K315" s="90">
        <v>10</v>
      </c>
      <c r="L315" s="86"/>
      <c r="M315" s="86"/>
      <c r="N315" s="87"/>
      <c r="O315" s="86"/>
      <c r="P315" s="86"/>
      <c r="Q315" s="87"/>
    </row>
    <row r="316" spans="1:17" ht="24" customHeight="1">
      <c r="A316" s="91">
        <v>45</v>
      </c>
      <c r="B316" s="92"/>
      <c r="C316" s="102" t="s">
        <v>88</v>
      </c>
      <c r="D316" s="102" t="s">
        <v>117</v>
      </c>
      <c r="E316" s="94" t="s">
        <v>82</v>
      </c>
      <c r="F316" s="95" t="s">
        <v>56</v>
      </c>
      <c r="G316" s="96">
        <v>915000</v>
      </c>
      <c r="H316" s="97">
        <v>915000</v>
      </c>
      <c r="I316" s="95" t="s">
        <v>56</v>
      </c>
      <c r="J316" s="96">
        <v>852000</v>
      </c>
      <c r="K316" s="97">
        <v>852000</v>
      </c>
      <c r="L316" s="98"/>
      <c r="M316" s="98"/>
      <c r="N316" s="99"/>
      <c r="O316" s="98"/>
      <c r="P316" s="98"/>
      <c r="Q316" s="99"/>
    </row>
    <row r="317" spans="1:17" ht="14.45" customHeight="1">
      <c r="A317" s="75">
        <v>46</v>
      </c>
      <c r="B317" s="76"/>
      <c r="C317" s="100" t="s">
        <v>90</v>
      </c>
      <c r="D317" s="100" t="s">
        <v>117</v>
      </c>
      <c r="E317" s="78" t="s">
        <v>82</v>
      </c>
      <c r="F317" s="79" t="s">
        <v>50</v>
      </c>
      <c r="G317" s="79" t="s">
        <v>50</v>
      </c>
      <c r="H317" s="80" t="s">
        <v>50</v>
      </c>
      <c r="I317" s="79" t="s">
        <v>51</v>
      </c>
      <c r="J317" s="79" t="s">
        <v>51</v>
      </c>
      <c r="K317" s="80" t="s">
        <v>51</v>
      </c>
      <c r="L317" s="79"/>
      <c r="M317" s="79"/>
      <c r="N317" s="80"/>
      <c r="O317" s="79"/>
      <c r="P317" s="79"/>
      <c r="Q317" s="80"/>
    </row>
    <row r="318" spans="1:17" ht="60" customHeight="1">
      <c r="A318" s="81">
        <v>46</v>
      </c>
      <c r="B318" s="82"/>
      <c r="C318" s="101" t="s">
        <v>90</v>
      </c>
      <c r="D318" s="101" t="s">
        <v>117</v>
      </c>
      <c r="E318" s="84" t="s">
        <v>82</v>
      </c>
      <c r="F318" s="85"/>
      <c r="G318" s="86" t="s">
        <v>135</v>
      </c>
      <c r="H318" s="87" t="s">
        <v>135</v>
      </c>
      <c r="I318" s="85"/>
      <c r="J318" s="86" t="s">
        <v>135</v>
      </c>
      <c r="K318" s="87" t="s">
        <v>135</v>
      </c>
      <c r="L318" s="86"/>
      <c r="M318" s="86"/>
      <c r="N318" s="87"/>
      <c r="O318" s="86"/>
      <c r="P318" s="86"/>
      <c r="Q318" s="87"/>
    </row>
    <row r="319" spans="1:17" ht="45" customHeight="1">
      <c r="A319" s="81">
        <v>46</v>
      </c>
      <c r="B319" s="82"/>
      <c r="C319" s="101" t="s">
        <v>90</v>
      </c>
      <c r="D319" s="101" t="s">
        <v>117</v>
      </c>
      <c r="E319" s="84" t="s">
        <v>82</v>
      </c>
      <c r="F319" s="85"/>
      <c r="G319" s="85"/>
      <c r="H319" s="88"/>
      <c r="I319" s="85"/>
      <c r="J319" s="85"/>
      <c r="K319" s="88"/>
      <c r="L319" s="86"/>
      <c r="M319" s="86"/>
      <c r="N319" s="87"/>
      <c r="O319" s="86"/>
      <c r="P319" s="86"/>
      <c r="Q319" s="87"/>
    </row>
    <row r="320" spans="1:17" ht="14.45" customHeight="1">
      <c r="A320" s="81">
        <v>46</v>
      </c>
      <c r="B320" s="82"/>
      <c r="C320" s="101" t="s">
        <v>90</v>
      </c>
      <c r="D320" s="101" t="s">
        <v>117</v>
      </c>
      <c r="E320" s="84" t="s">
        <v>82</v>
      </c>
      <c r="F320" s="89">
        <v>416</v>
      </c>
      <c r="G320" s="89">
        <v>630</v>
      </c>
      <c r="H320" s="90">
        <v>501</v>
      </c>
      <c r="I320" s="89">
        <v>29</v>
      </c>
      <c r="J320" s="89">
        <v>12</v>
      </c>
      <c r="K320" s="90">
        <v>872</v>
      </c>
      <c r="L320" s="86"/>
      <c r="M320" s="86"/>
      <c r="N320" s="87"/>
      <c r="O320" s="86"/>
      <c r="P320" s="86"/>
      <c r="Q320" s="87"/>
    </row>
    <row r="321" spans="1:17" ht="45" customHeight="1">
      <c r="A321" s="81">
        <v>46</v>
      </c>
      <c r="B321" s="82"/>
      <c r="C321" s="101" t="s">
        <v>90</v>
      </c>
      <c r="D321" s="101" t="s">
        <v>117</v>
      </c>
      <c r="E321" s="84" t="s">
        <v>82</v>
      </c>
      <c r="F321" s="85"/>
      <c r="G321" s="85"/>
      <c r="H321" s="88"/>
      <c r="I321" s="85"/>
      <c r="J321" s="85"/>
      <c r="K321" s="88"/>
      <c r="L321" s="86"/>
      <c r="M321" s="86"/>
      <c r="N321" s="87"/>
      <c r="O321" s="86"/>
      <c r="P321" s="86"/>
      <c r="Q321" s="87"/>
    </row>
    <row r="322" spans="1:17" ht="14.45" customHeight="1">
      <c r="A322" s="81">
        <v>46</v>
      </c>
      <c r="B322" s="82"/>
      <c r="C322" s="101" t="s">
        <v>90</v>
      </c>
      <c r="D322" s="101" t="s">
        <v>117</v>
      </c>
      <c r="E322" s="84" t="s">
        <v>82</v>
      </c>
      <c r="F322" s="89">
        <v>426</v>
      </c>
      <c r="G322" s="89">
        <v>2034</v>
      </c>
      <c r="H322" s="90">
        <v>10</v>
      </c>
      <c r="I322" s="89">
        <v>163</v>
      </c>
      <c r="J322" s="89">
        <v>902</v>
      </c>
      <c r="K322" s="90">
        <v>10</v>
      </c>
      <c r="L322" s="86"/>
      <c r="M322" s="86"/>
      <c r="N322" s="87"/>
      <c r="O322" s="86"/>
      <c r="P322" s="86"/>
      <c r="Q322" s="87"/>
    </row>
    <row r="323" spans="1:17" ht="24" customHeight="1">
      <c r="A323" s="91">
        <v>46</v>
      </c>
      <c r="B323" s="92"/>
      <c r="C323" s="102" t="s">
        <v>90</v>
      </c>
      <c r="D323" s="102" t="s">
        <v>117</v>
      </c>
      <c r="E323" s="94" t="s">
        <v>82</v>
      </c>
      <c r="F323" s="95" t="s">
        <v>56</v>
      </c>
      <c r="G323" s="96">
        <v>915000</v>
      </c>
      <c r="H323" s="97">
        <v>915000</v>
      </c>
      <c r="I323" s="95" t="s">
        <v>56</v>
      </c>
      <c r="J323" s="96">
        <v>852000</v>
      </c>
      <c r="K323" s="97">
        <v>852000</v>
      </c>
      <c r="L323" s="98"/>
      <c r="M323" s="98"/>
      <c r="N323" s="99"/>
      <c r="O323" s="98"/>
      <c r="P323" s="98"/>
      <c r="Q323" s="99"/>
    </row>
    <row r="324" spans="1:17" ht="14.45" customHeight="1">
      <c r="A324" s="75">
        <v>47</v>
      </c>
      <c r="B324" s="76"/>
      <c r="C324" s="100" t="s">
        <v>99</v>
      </c>
      <c r="D324" s="100" t="s">
        <v>117</v>
      </c>
      <c r="E324" s="78" t="s">
        <v>98</v>
      </c>
      <c r="F324" s="79" t="s">
        <v>50</v>
      </c>
      <c r="G324" s="79" t="s">
        <v>50</v>
      </c>
      <c r="H324" s="80" t="s">
        <v>50</v>
      </c>
      <c r="I324" s="79" t="s">
        <v>51</v>
      </c>
      <c r="J324" s="79" t="s">
        <v>51</v>
      </c>
      <c r="K324" s="80" t="s">
        <v>51</v>
      </c>
      <c r="L324" s="79"/>
      <c r="M324" s="79"/>
      <c r="N324" s="80"/>
      <c r="O324" s="79"/>
      <c r="P324" s="79"/>
      <c r="Q324" s="80"/>
    </row>
    <row r="325" spans="1:17" ht="60" customHeight="1">
      <c r="A325" s="81">
        <v>47</v>
      </c>
      <c r="B325" s="82"/>
      <c r="C325" s="101" t="s">
        <v>99</v>
      </c>
      <c r="D325" s="101" t="s">
        <v>117</v>
      </c>
      <c r="E325" s="84" t="s">
        <v>98</v>
      </c>
      <c r="F325" s="85"/>
      <c r="G325" s="86" t="s">
        <v>136</v>
      </c>
      <c r="H325" s="87" t="s">
        <v>136</v>
      </c>
      <c r="I325" s="85"/>
      <c r="J325" s="86" t="s">
        <v>136</v>
      </c>
      <c r="K325" s="87" t="s">
        <v>136</v>
      </c>
      <c r="L325" s="86"/>
      <c r="M325" s="86"/>
      <c r="N325" s="87"/>
      <c r="O325" s="86"/>
      <c r="P325" s="86"/>
      <c r="Q325" s="87"/>
    </row>
    <row r="326" spans="1:17" ht="45" customHeight="1">
      <c r="A326" s="81">
        <v>47</v>
      </c>
      <c r="B326" s="82"/>
      <c r="C326" s="101" t="s">
        <v>99</v>
      </c>
      <c r="D326" s="101" t="s">
        <v>117</v>
      </c>
      <c r="E326" s="84" t="s">
        <v>98</v>
      </c>
      <c r="F326" s="85"/>
      <c r="G326" s="85"/>
      <c r="H326" s="88"/>
      <c r="I326" s="85"/>
      <c r="J326" s="85"/>
      <c r="K326" s="88"/>
      <c r="L326" s="86"/>
      <c r="M326" s="86"/>
      <c r="N326" s="87"/>
      <c r="O326" s="86"/>
      <c r="P326" s="86"/>
      <c r="Q326" s="87"/>
    </row>
    <row r="327" spans="1:17" ht="14.45" customHeight="1">
      <c r="A327" s="81">
        <v>47</v>
      </c>
      <c r="B327" s="82"/>
      <c r="C327" s="101" t="s">
        <v>99</v>
      </c>
      <c r="D327" s="101" t="s">
        <v>117</v>
      </c>
      <c r="E327" s="84" t="s">
        <v>98</v>
      </c>
      <c r="F327" s="89">
        <v>793</v>
      </c>
      <c r="G327" s="89">
        <v>560</v>
      </c>
      <c r="H327" s="90">
        <v>666</v>
      </c>
      <c r="I327" s="89">
        <v>1110</v>
      </c>
      <c r="J327" s="89">
        <v>167</v>
      </c>
      <c r="K327" s="90">
        <v>31</v>
      </c>
      <c r="L327" s="86"/>
      <c r="M327" s="86"/>
      <c r="N327" s="87"/>
      <c r="O327" s="86"/>
      <c r="P327" s="86"/>
      <c r="Q327" s="87"/>
    </row>
    <row r="328" spans="1:17" ht="45" customHeight="1">
      <c r="A328" s="81">
        <v>47</v>
      </c>
      <c r="B328" s="82"/>
      <c r="C328" s="101" t="s">
        <v>99</v>
      </c>
      <c r="D328" s="101" t="s">
        <v>117</v>
      </c>
      <c r="E328" s="84" t="s">
        <v>98</v>
      </c>
      <c r="F328" s="85"/>
      <c r="G328" s="85"/>
      <c r="H328" s="88"/>
      <c r="I328" s="85"/>
      <c r="J328" s="85"/>
      <c r="K328" s="88"/>
      <c r="L328" s="86"/>
      <c r="M328" s="86"/>
      <c r="N328" s="87"/>
      <c r="O328" s="86"/>
      <c r="P328" s="86"/>
      <c r="Q328" s="87"/>
    </row>
    <row r="329" spans="1:17" ht="14.45" customHeight="1">
      <c r="A329" s="81">
        <v>47</v>
      </c>
      <c r="B329" s="82"/>
      <c r="C329" s="101" t="s">
        <v>99</v>
      </c>
      <c r="D329" s="101" t="s">
        <v>117</v>
      </c>
      <c r="E329" s="84" t="s">
        <v>98</v>
      </c>
      <c r="F329" s="89">
        <v>292</v>
      </c>
      <c r="G329" s="89">
        <v>10</v>
      </c>
      <c r="H329" s="88"/>
      <c r="I329" s="89">
        <v>12</v>
      </c>
      <c r="J329" s="89">
        <v>10</v>
      </c>
      <c r="K329" s="88"/>
      <c r="L329" s="86"/>
      <c r="M329" s="86"/>
      <c r="N329" s="87"/>
      <c r="O329" s="86"/>
      <c r="P329" s="86"/>
      <c r="Q329" s="87"/>
    </row>
    <row r="330" spans="1:17" ht="24" customHeight="1">
      <c r="A330" s="91">
        <v>47</v>
      </c>
      <c r="B330" s="92"/>
      <c r="C330" s="102" t="s">
        <v>99</v>
      </c>
      <c r="D330" s="102" t="s">
        <v>117</v>
      </c>
      <c r="E330" s="94" t="s">
        <v>98</v>
      </c>
      <c r="F330" s="95" t="s">
        <v>56</v>
      </c>
      <c r="G330" s="96">
        <v>414000</v>
      </c>
      <c r="H330" s="97">
        <v>414000</v>
      </c>
      <c r="I330" s="95" t="s">
        <v>56</v>
      </c>
      <c r="J330" s="96">
        <v>414000</v>
      </c>
      <c r="K330" s="97">
        <v>414000</v>
      </c>
      <c r="L330" s="98"/>
      <c r="M330" s="98"/>
      <c r="N330" s="99"/>
      <c r="O330" s="98"/>
      <c r="P330" s="98"/>
      <c r="Q330" s="99"/>
    </row>
    <row r="331" spans="1:17" ht="14.45" customHeight="1">
      <c r="A331" s="75">
        <v>48</v>
      </c>
      <c r="B331" s="76"/>
      <c r="C331" s="100" t="s">
        <v>101</v>
      </c>
      <c r="D331" s="100" t="s">
        <v>117</v>
      </c>
      <c r="E331" s="78" t="s">
        <v>98</v>
      </c>
      <c r="F331" s="79" t="s">
        <v>50</v>
      </c>
      <c r="G331" s="79" t="s">
        <v>50</v>
      </c>
      <c r="H331" s="80" t="s">
        <v>50</v>
      </c>
      <c r="I331" s="79" t="s">
        <v>51</v>
      </c>
      <c r="J331" s="79" t="s">
        <v>51</v>
      </c>
      <c r="K331" s="80" t="s">
        <v>51</v>
      </c>
      <c r="L331" s="79"/>
      <c r="M331" s="79"/>
      <c r="N331" s="80"/>
      <c r="O331" s="79"/>
      <c r="P331" s="79"/>
      <c r="Q331" s="80"/>
    </row>
    <row r="332" spans="1:17" ht="60" customHeight="1">
      <c r="A332" s="81">
        <v>48</v>
      </c>
      <c r="B332" s="82"/>
      <c r="C332" s="101" t="s">
        <v>101</v>
      </c>
      <c r="D332" s="101" t="s">
        <v>117</v>
      </c>
      <c r="E332" s="84" t="s">
        <v>98</v>
      </c>
      <c r="F332" s="85"/>
      <c r="G332" s="86" t="s">
        <v>137</v>
      </c>
      <c r="H332" s="87" t="s">
        <v>137</v>
      </c>
      <c r="I332" s="85"/>
      <c r="J332" s="86" t="s">
        <v>137</v>
      </c>
      <c r="K332" s="87" t="s">
        <v>137</v>
      </c>
      <c r="L332" s="86"/>
      <c r="M332" s="86"/>
      <c r="N332" s="87"/>
      <c r="O332" s="86"/>
      <c r="P332" s="86"/>
      <c r="Q332" s="87"/>
    </row>
    <row r="333" spans="1:17" ht="45" customHeight="1">
      <c r="A333" s="81">
        <v>48</v>
      </c>
      <c r="B333" s="82"/>
      <c r="C333" s="101" t="s">
        <v>101</v>
      </c>
      <c r="D333" s="101" t="s">
        <v>117</v>
      </c>
      <c r="E333" s="84" t="s">
        <v>98</v>
      </c>
      <c r="F333" s="85"/>
      <c r="G333" s="85"/>
      <c r="H333" s="88"/>
      <c r="I333" s="85"/>
      <c r="J333" s="85"/>
      <c r="K333" s="88"/>
      <c r="L333" s="86"/>
      <c r="M333" s="86"/>
      <c r="N333" s="87"/>
      <c r="O333" s="86"/>
      <c r="P333" s="86"/>
      <c r="Q333" s="87"/>
    </row>
    <row r="334" spans="1:17" ht="14.45" customHeight="1">
      <c r="A334" s="81">
        <v>48</v>
      </c>
      <c r="B334" s="82"/>
      <c r="C334" s="101" t="s">
        <v>101</v>
      </c>
      <c r="D334" s="101" t="s">
        <v>117</v>
      </c>
      <c r="E334" s="84" t="s">
        <v>98</v>
      </c>
      <c r="F334" s="89">
        <v>793</v>
      </c>
      <c r="G334" s="89">
        <v>560</v>
      </c>
      <c r="H334" s="90">
        <v>666</v>
      </c>
      <c r="I334" s="89">
        <v>1110</v>
      </c>
      <c r="J334" s="89">
        <v>167</v>
      </c>
      <c r="K334" s="90">
        <v>31</v>
      </c>
      <c r="L334" s="86"/>
      <c r="M334" s="86"/>
      <c r="N334" s="87"/>
      <c r="O334" s="86"/>
      <c r="P334" s="86"/>
      <c r="Q334" s="87"/>
    </row>
    <row r="335" spans="1:17" ht="45" customHeight="1">
      <c r="A335" s="81">
        <v>48</v>
      </c>
      <c r="B335" s="82"/>
      <c r="C335" s="101" t="s">
        <v>101</v>
      </c>
      <c r="D335" s="101" t="s">
        <v>117</v>
      </c>
      <c r="E335" s="84" t="s">
        <v>98</v>
      </c>
      <c r="F335" s="85"/>
      <c r="G335" s="85"/>
      <c r="H335" s="88"/>
      <c r="I335" s="85"/>
      <c r="J335" s="85"/>
      <c r="K335" s="88"/>
      <c r="L335" s="86"/>
      <c r="M335" s="86"/>
      <c r="N335" s="87"/>
      <c r="O335" s="86"/>
      <c r="P335" s="86"/>
      <c r="Q335" s="87"/>
    </row>
    <row r="336" spans="1:17" ht="14.45" customHeight="1">
      <c r="A336" s="81">
        <v>48</v>
      </c>
      <c r="B336" s="82"/>
      <c r="C336" s="101" t="s">
        <v>101</v>
      </c>
      <c r="D336" s="101" t="s">
        <v>117</v>
      </c>
      <c r="E336" s="84" t="s">
        <v>98</v>
      </c>
      <c r="F336" s="89">
        <v>292</v>
      </c>
      <c r="G336" s="89">
        <v>10</v>
      </c>
      <c r="H336" s="88"/>
      <c r="I336" s="89">
        <v>12</v>
      </c>
      <c r="J336" s="89">
        <v>10</v>
      </c>
      <c r="K336" s="88"/>
      <c r="L336" s="86"/>
      <c r="M336" s="86"/>
      <c r="N336" s="87"/>
      <c r="O336" s="86"/>
      <c r="P336" s="86"/>
      <c r="Q336" s="87"/>
    </row>
    <row r="337" spans="1:17" ht="24" customHeight="1">
      <c r="A337" s="91">
        <v>48</v>
      </c>
      <c r="B337" s="92"/>
      <c r="C337" s="102" t="s">
        <v>101</v>
      </c>
      <c r="D337" s="102" t="s">
        <v>117</v>
      </c>
      <c r="E337" s="94" t="s">
        <v>98</v>
      </c>
      <c r="F337" s="95" t="s">
        <v>56</v>
      </c>
      <c r="G337" s="96">
        <v>414000</v>
      </c>
      <c r="H337" s="97">
        <v>414000</v>
      </c>
      <c r="I337" s="95" t="s">
        <v>56</v>
      </c>
      <c r="J337" s="96">
        <v>414000</v>
      </c>
      <c r="K337" s="97">
        <v>414000</v>
      </c>
      <c r="L337" s="98"/>
      <c r="M337" s="98"/>
      <c r="N337" s="99"/>
      <c r="O337" s="98"/>
      <c r="P337" s="98"/>
      <c r="Q337" s="99"/>
    </row>
    <row r="338" spans="1:17" ht="14.45" customHeight="1">
      <c r="A338" s="75">
        <v>49</v>
      </c>
      <c r="B338" s="76"/>
      <c r="C338" s="100" t="s">
        <v>103</v>
      </c>
      <c r="D338" s="100" t="s">
        <v>117</v>
      </c>
      <c r="E338" s="78" t="s">
        <v>98</v>
      </c>
      <c r="F338" s="79" t="s">
        <v>50</v>
      </c>
      <c r="G338" s="79" t="s">
        <v>50</v>
      </c>
      <c r="H338" s="80" t="s">
        <v>50</v>
      </c>
      <c r="I338" s="79" t="s">
        <v>51</v>
      </c>
      <c r="J338" s="79" t="s">
        <v>51</v>
      </c>
      <c r="K338" s="80" t="s">
        <v>51</v>
      </c>
      <c r="L338" s="79"/>
      <c r="M338" s="79"/>
      <c r="N338" s="80"/>
      <c r="O338" s="79"/>
      <c r="P338" s="79"/>
      <c r="Q338" s="80"/>
    </row>
    <row r="339" spans="1:17" ht="60" customHeight="1">
      <c r="A339" s="81">
        <v>49</v>
      </c>
      <c r="B339" s="82"/>
      <c r="C339" s="101" t="s">
        <v>103</v>
      </c>
      <c r="D339" s="101" t="s">
        <v>117</v>
      </c>
      <c r="E339" s="84" t="s">
        <v>98</v>
      </c>
      <c r="F339" s="85"/>
      <c r="G339" s="86" t="s">
        <v>136</v>
      </c>
      <c r="H339" s="87" t="s">
        <v>136</v>
      </c>
      <c r="I339" s="85"/>
      <c r="J339" s="86" t="s">
        <v>136</v>
      </c>
      <c r="K339" s="87" t="s">
        <v>136</v>
      </c>
      <c r="L339" s="86"/>
      <c r="M339" s="86"/>
      <c r="N339" s="87"/>
      <c r="O339" s="86"/>
      <c r="P339" s="86"/>
      <c r="Q339" s="87"/>
    </row>
    <row r="340" spans="1:17" ht="45" customHeight="1">
      <c r="A340" s="81">
        <v>49</v>
      </c>
      <c r="B340" s="82"/>
      <c r="C340" s="101" t="s">
        <v>103</v>
      </c>
      <c r="D340" s="101" t="s">
        <v>117</v>
      </c>
      <c r="E340" s="84" t="s">
        <v>98</v>
      </c>
      <c r="F340" s="85"/>
      <c r="G340" s="85"/>
      <c r="H340" s="88"/>
      <c r="I340" s="85"/>
      <c r="J340" s="85"/>
      <c r="K340" s="88"/>
      <c r="L340" s="86"/>
      <c r="M340" s="86"/>
      <c r="N340" s="87"/>
      <c r="O340" s="86"/>
      <c r="P340" s="86"/>
      <c r="Q340" s="87"/>
    </row>
    <row r="341" spans="1:17" ht="14.45" customHeight="1">
      <c r="A341" s="81">
        <v>49</v>
      </c>
      <c r="B341" s="82"/>
      <c r="C341" s="101" t="s">
        <v>103</v>
      </c>
      <c r="D341" s="101" t="s">
        <v>117</v>
      </c>
      <c r="E341" s="84" t="s">
        <v>98</v>
      </c>
      <c r="F341" s="89">
        <v>793</v>
      </c>
      <c r="G341" s="89">
        <v>560</v>
      </c>
      <c r="H341" s="90">
        <v>666</v>
      </c>
      <c r="I341" s="89">
        <v>1110</v>
      </c>
      <c r="J341" s="89">
        <v>167</v>
      </c>
      <c r="K341" s="90">
        <v>31</v>
      </c>
      <c r="L341" s="86"/>
      <c r="M341" s="86"/>
      <c r="N341" s="87"/>
      <c r="O341" s="86"/>
      <c r="P341" s="86"/>
      <c r="Q341" s="87"/>
    </row>
    <row r="342" spans="1:17" ht="45" customHeight="1">
      <c r="A342" s="81">
        <v>49</v>
      </c>
      <c r="B342" s="82"/>
      <c r="C342" s="101" t="s">
        <v>103</v>
      </c>
      <c r="D342" s="101" t="s">
        <v>117</v>
      </c>
      <c r="E342" s="84" t="s">
        <v>98</v>
      </c>
      <c r="F342" s="85"/>
      <c r="G342" s="85"/>
      <c r="H342" s="88"/>
      <c r="I342" s="85"/>
      <c r="J342" s="85"/>
      <c r="K342" s="88"/>
      <c r="L342" s="86"/>
      <c r="M342" s="86"/>
      <c r="N342" s="87"/>
      <c r="O342" s="86"/>
      <c r="P342" s="86"/>
      <c r="Q342" s="87"/>
    </row>
    <row r="343" spans="1:17" ht="14.45" customHeight="1">
      <c r="A343" s="81">
        <v>49</v>
      </c>
      <c r="B343" s="82"/>
      <c r="C343" s="101" t="s">
        <v>103</v>
      </c>
      <c r="D343" s="101" t="s">
        <v>117</v>
      </c>
      <c r="E343" s="84" t="s">
        <v>98</v>
      </c>
      <c r="F343" s="89">
        <v>292</v>
      </c>
      <c r="G343" s="89">
        <v>10</v>
      </c>
      <c r="H343" s="88"/>
      <c r="I343" s="89">
        <v>12</v>
      </c>
      <c r="J343" s="89">
        <v>10</v>
      </c>
      <c r="K343" s="88"/>
      <c r="L343" s="86"/>
      <c r="M343" s="86"/>
      <c r="N343" s="87"/>
      <c r="O343" s="86"/>
      <c r="P343" s="86"/>
      <c r="Q343" s="87"/>
    </row>
    <row r="344" spans="1:17" ht="24" customHeight="1">
      <c r="A344" s="91">
        <v>49</v>
      </c>
      <c r="B344" s="92"/>
      <c r="C344" s="102" t="s">
        <v>103</v>
      </c>
      <c r="D344" s="102" t="s">
        <v>117</v>
      </c>
      <c r="E344" s="94" t="s">
        <v>98</v>
      </c>
      <c r="F344" s="95" t="s">
        <v>56</v>
      </c>
      <c r="G344" s="96">
        <v>414000</v>
      </c>
      <c r="H344" s="97">
        <v>414000</v>
      </c>
      <c r="I344" s="95" t="s">
        <v>56</v>
      </c>
      <c r="J344" s="96">
        <v>414000</v>
      </c>
      <c r="K344" s="97">
        <v>414000</v>
      </c>
      <c r="L344" s="98"/>
      <c r="M344" s="98"/>
      <c r="N344" s="99"/>
      <c r="O344" s="98"/>
      <c r="P344" s="98"/>
      <c r="Q344" s="99"/>
    </row>
    <row r="345" spans="1:17" ht="14.45" customHeight="1">
      <c r="A345" s="75">
        <v>50</v>
      </c>
      <c r="B345" s="76"/>
      <c r="C345" s="100" t="s">
        <v>105</v>
      </c>
      <c r="D345" s="100" t="s">
        <v>117</v>
      </c>
      <c r="E345" s="78" t="s">
        <v>98</v>
      </c>
      <c r="F345" s="79" t="s">
        <v>50</v>
      </c>
      <c r="G345" s="79" t="s">
        <v>50</v>
      </c>
      <c r="H345" s="80" t="s">
        <v>50</v>
      </c>
      <c r="I345" s="79" t="s">
        <v>51</v>
      </c>
      <c r="J345" s="79" t="s">
        <v>51</v>
      </c>
      <c r="K345" s="80" t="s">
        <v>51</v>
      </c>
      <c r="L345" s="79"/>
      <c r="M345" s="79"/>
      <c r="N345" s="80"/>
      <c r="O345" s="79"/>
      <c r="P345" s="79"/>
      <c r="Q345" s="80"/>
    </row>
    <row r="346" spans="1:17" ht="60" customHeight="1">
      <c r="A346" s="81">
        <v>50</v>
      </c>
      <c r="B346" s="82"/>
      <c r="C346" s="101" t="s">
        <v>105</v>
      </c>
      <c r="D346" s="101" t="s">
        <v>117</v>
      </c>
      <c r="E346" s="84" t="s">
        <v>98</v>
      </c>
      <c r="F346" s="85"/>
      <c r="G346" s="86" t="s">
        <v>138</v>
      </c>
      <c r="H346" s="87" t="s">
        <v>138</v>
      </c>
      <c r="I346" s="85"/>
      <c r="J346" s="86" t="s">
        <v>138</v>
      </c>
      <c r="K346" s="87" t="s">
        <v>138</v>
      </c>
      <c r="L346" s="86"/>
      <c r="M346" s="86"/>
      <c r="N346" s="87"/>
      <c r="O346" s="86"/>
      <c r="P346" s="86"/>
      <c r="Q346" s="87"/>
    </row>
    <row r="347" spans="1:17" ht="45" customHeight="1">
      <c r="A347" s="81">
        <v>50</v>
      </c>
      <c r="B347" s="82"/>
      <c r="C347" s="101" t="s">
        <v>105</v>
      </c>
      <c r="D347" s="101" t="s">
        <v>117</v>
      </c>
      <c r="E347" s="84" t="s">
        <v>98</v>
      </c>
      <c r="F347" s="85"/>
      <c r="G347" s="85"/>
      <c r="H347" s="88"/>
      <c r="I347" s="85"/>
      <c r="J347" s="85"/>
      <c r="K347" s="88"/>
      <c r="L347" s="86"/>
      <c r="M347" s="86"/>
      <c r="N347" s="87"/>
      <c r="O347" s="86"/>
      <c r="P347" s="86"/>
      <c r="Q347" s="87"/>
    </row>
    <row r="348" spans="1:17" ht="14.45" customHeight="1">
      <c r="A348" s="81">
        <v>50</v>
      </c>
      <c r="B348" s="82"/>
      <c r="C348" s="101" t="s">
        <v>105</v>
      </c>
      <c r="D348" s="101" t="s">
        <v>117</v>
      </c>
      <c r="E348" s="84" t="s">
        <v>98</v>
      </c>
      <c r="F348" s="89">
        <v>793</v>
      </c>
      <c r="G348" s="89">
        <v>840</v>
      </c>
      <c r="H348" s="90">
        <v>444</v>
      </c>
      <c r="I348" s="89">
        <v>1110</v>
      </c>
      <c r="J348" s="89">
        <v>167</v>
      </c>
      <c r="K348" s="90">
        <v>31</v>
      </c>
      <c r="L348" s="86"/>
      <c r="M348" s="86"/>
      <c r="N348" s="87"/>
      <c r="O348" s="86"/>
      <c r="P348" s="86"/>
      <c r="Q348" s="87"/>
    </row>
    <row r="349" spans="1:17" ht="45" customHeight="1">
      <c r="A349" s="81">
        <v>50</v>
      </c>
      <c r="B349" s="82"/>
      <c r="C349" s="101" t="s">
        <v>105</v>
      </c>
      <c r="D349" s="101" t="s">
        <v>117</v>
      </c>
      <c r="E349" s="84" t="s">
        <v>98</v>
      </c>
      <c r="F349" s="85"/>
      <c r="G349" s="85"/>
      <c r="H349" s="88"/>
      <c r="I349" s="85"/>
      <c r="J349" s="85"/>
      <c r="K349" s="88"/>
      <c r="L349" s="86"/>
      <c r="M349" s="86"/>
      <c r="N349" s="87"/>
      <c r="O349" s="86"/>
      <c r="P349" s="86"/>
      <c r="Q349" s="87"/>
    </row>
    <row r="350" spans="1:17" ht="14.45" customHeight="1">
      <c r="A350" s="81">
        <v>50</v>
      </c>
      <c r="B350" s="82"/>
      <c r="C350" s="101" t="s">
        <v>105</v>
      </c>
      <c r="D350" s="101" t="s">
        <v>117</v>
      </c>
      <c r="E350" s="84" t="s">
        <v>98</v>
      </c>
      <c r="F350" s="89">
        <v>292</v>
      </c>
      <c r="G350" s="89">
        <v>10</v>
      </c>
      <c r="H350" s="88"/>
      <c r="I350" s="89">
        <v>12</v>
      </c>
      <c r="J350" s="89">
        <v>10</v>
      </c>
      <c r="K350" s="88"/>
      <c r="L350" s="86"/>
      <c r="M350" s="86"/>
      <c r="N350" s="87"/>
      <c r="O350" s="86"/>
      <c r="P350" s="86"/>
      <c r="Q350" s="87"/>
    </row>
    <row r="351" spans="1:17" ht="24" customHeight="1">
      <c r="A351" s="91">
        <v>50</v>
      </c>
      <c r="B351" s="92"/>
      <c r="C351" s="102" t="s">
        <v>105</v>
      </c>
      <c r="D351" s="102" t="s">
        <v>117</v>
      </c>
      <c r="E351" s="94" t="s">
        <v>98</v>
      </c>
      <c r="F351" s="95" t="s">
        <v>56</v>
      </c>
      <c r="G351" s="96">
        <v>414000</v>
      </c>
      <c r="H351" s="97">
        <v>414000</v>
      </c>
      <c r="I351" s="95" t="s">
        <v>56</v>
      </c>
      <c r="J351" s="96">
        <v>414000</v>
      </c>
      <c r="K351" s="97">
        <v>414000</v>
      </c>
      <c r="L351" s="98"/>
      <c r="M351" s="98"/>
      <c r="N351" s="99"/>
      <c r="O351" s="98"/>
      <c r="P351" s="98"/>
      <c r="Q351" s="99"/>
    </row>
    <row r="352" spans="1:17" ht="14.45" customHeight="1">
      <c r="A352" s="75">
        <v>51</v>
      </c>
      <c r="B352" s="76"/>
      <c r="C352" s="100" t="s">
        <v>139</v>
      </c>
      <c r="D352" s="100" t="s">
        <v>117</v>
      </c>
      <c r="E352" s="78" t="s">
        <v>98</v>
      </c>
      <c r="F352" s="79" t="s">
        <v>50</v>
      </c>
      <c r="G352" s="79" t="s">
        <v>50</v>
      </c>
      <c r="H352" s="80" t="s">
        <v>50</v>
      </c>
      <c r="I352" s="79" t="s">
        <v>51</v>
      </c>
      <c r="J352" s="79" t="s">
        <v>51</v>
      </c>
      <c r="K352" s="80" t="s">
        <v>51</v>
      </c>
      <c r="L352" s="79"/>
      <c r="M352" s="79"/>
      <c r="N352" s="80"/>
      <c r="O352" s="79"/>
      <c r="P352" s="79"/>
      <c r="Q352" s="80"/>
    </row>
    <row r="353" spans="1:17" ht="60" customHeight="1">
      <c r="A353" s="81">
        <v>51</v>
      </c>
      <c r="B353" s="82"/>
      <c r="C353" s="101" t="s">
        <v>139</v>
      </c>
      <c r="D353" s="101" t="s">
        <v>117</v>
      </c>
      <c r="E353" s="84" t="s">
        <v>98</v>
      </c>
      <c r="F353" s="85"/>
      <c r="G353" s="86"/>
      <c r="H353" s="87"/>
      <c r="I353" s="85"/>
      <c r="J353" s="86"/>
      <c r="K353" s="87"/>
      <c r="L353" s="86"/>
      <c r="M353" s="86"/>
      <c r="N353" s="87"/>
      <c r="O353" s="86"/>
      <c r="P353" s="86"/>
      <c r="Q353" s="87"/>
    </row>
    <row r="354" spans="1:17" ht="45" customHeight="1">
      <c r="A354" s="81">
        <v>51</v>
      </c>
      <c r="B354" s="82"/>
      <c r="C354" s="101" t="s">
        <v>139</v>
      </c>
      <c r="D354" s="101" t="s">
        <v>117</v>
      </c>
      <c r="E354" s="84" t="s">
        <v>98</v>
      </c>
      <c r="F354" s="85"/>
      <c r="G354" s="85"/>
      <c r="H354" s="88"/>
      <c r="I354" s="85"/>
      <c r="J354" s="85"/>
      <c r="K354" s="88"/>
      <c r="L354" s="86"/>
      <c r="M354" s="86"/>
      <c r="N354" s="87"/>
      <c r="O354" s="86"/>
      <c r="P354" s="86"/>
      <c r="Q354" s="87"/>
    </row>
    <row r="355" spans="1:17" ht="14.45" customHeight="1">
      <c r="A355" s="81">
        <v>51</v>
      </c>
      <c r="B355" s="82"/>
      <c r="C355" s="101" t="s">
        <v>139</v>
      </c>
      <c r="D355" s="101" t="s">
        <v>117</v>
      </c>
      <c r="E355" s="84" t="s">
        <v>98</v>
      </c>
      <c r="F355" s="89">
        <v>1066</v>
      </c>
      <c r="G355" s="89">
        <v>713</v>
      </c>
      <c r="H355" s="90">
        <v>894</v>
      </c>
      <c r="I355" s="89">
        <v>1830</v>
      </c>
      <c r="J355" s="89">
        <v>269</v>
      </c>
      <c r="K355" s="90">
        <v>12</v>
      </c>
      <c r="L355" s="86"/>
      <c r="M355" s="86"/>
      <c r="N355" s="87"/>
      <c r="O355" s="86"/>
      <c r="P355" s="86"/>
      <c r="Q355" s="87"/>
    </row>
    <row r="356" spans="1:17" ht="45" customHeight="1">
      <c r="A356" s="81">
        <v>51</v>
      </c>
      <c r="B356" s="82"/>
      <c r="C356" s="101" t="s">
        <v>139</v>
      </c>
      <c r="D356" s="101" t="s">
        <v>117</v>
      </c>
      <c r="E356" s="84" t="s">
        <v>98</v>
      </c>
      <c r="F356" s="85"/>
      <c r="G356" s="85"/>
      <c r="H356" s="88"/>
      <c r="I356" s="85"/>
      <c r="J356" s="85"/>
      <c r="K356" s="88"/>
      <c r="L356" s="86"/>
      <c r="M356" s="86"/>
      <c r="N356" s="87"/>
      <c r="O356" s="86"/>
      <c r="P356" s="86"/>
      <c r="Q356" s="87"/>
    </row>
    <row r="357" spans="1:17" ht="14.45" customHeight="1">
      <c r="A357" s="81">
        <v>51</v>
      </c>
      <c r="B357" s="82"/>
      <c r="C357" s="101" t="s">
        <v>139</v>
      </c>
      <c r="D357" s="101" t="s">
        <v>117</v>
      </c>
      <c r="E357" s="84" t="s">
        <v>98</v>
      </c>
      <c r="F357" s="85"/>
      <c r="G357" s="85"/>
      <c r="H357" s="88"/>
      <c r="I357" s="85"/>
      <c r="J357" s="85"/>
      <c r="K357" s="88"/>
      <c r="L357" s="86"/>
      <c r="M357" s="86"/>
      <c r="N357" s="87"/>
      <c r="O357" s="86"/>
      <c r="P357" s="86"/>
      <c r="Q357" s="87"/>
    </row>
    <row r="358" spans="1:17" ht="24" customHeight="1">
      <c r="A358" s="91">
        <v>51</v>
      </c>
      <c r="B358" s="92"/>
      <c r="C358" s="102" t="s">
        <v>139</v>
      </c>
      <c r="D358" s="102" t="s">
        <v>117</v>
      </c>
      <c r="E358" s="94" t="s">
        <v>98</v>
      </c>
      <c r="F358" s="95" t="s">
        <v>56</v>
      </c>
      <c r="G358" s="96">
        <v>706000</v>
      </c>
      <c r="H358" s="97">
        <v>706000</v>
      </c>
      <c r="I358" s="95" t="s">
        <v>56</v>
      </c>
      <c r="J358" s="96">
        <v>796000</v>
      </c>
      <c r="K358" s="97">
        <v>796000</v>
      </c>
      <c r="L358" s="98"/>
      <c r="M358" s="98"/>
      <c r="N358" s="99"/>
      <c r="O358" s="98"/>
      <c r="P358" s="98"/>
      <c r="Q358" s="99"/>
    </row>
    <row r="359" spans="1:17" ht="14.45" customHeight="1">
      <c r="A359" s="75">
        <v>52</v>
      </c>
      <c r="B359" s="76"/>
      <c r="C359" s="100" t="s">
        <v>107</v>
      </c>
      <c r="D359" s="100" t="s">
        <v>117</v>
      </c>
      <c r="E359" s="78" t="s">
        <v>49</v>
      </c>
      <c r="F359" s="79" t="s">
        <v>50</v>
      </c>
      <c r="G359" s="79" t="s">
        <v>50</v>
      </c>
      <c r="H359" s="80" t="s">
        <v>50</v>
      </c>
      <c r="I359" s="79"/>
      <c r="J359" s="79"/>
      <c r="K359" s="80"/>
      <c r="L359" s="79"/>
      <c r="M359" s="79"/>
      <c r="N359" s="80"/>
      <c r="O359" s="79"/>
      <c r="P359" s="79"/>
      <c r="Q359" s="80"/>
    </row>
    <row r="360" spans="1:17" ht="60" customHeight="1">
      <c r="A360" s="81">
        <v>52</v>
      </c>
      <c r="B360" s="82"/>
      <c r="C360" s="101" t="s">
        <v>107</v>
      </c>
      <c r="D360" s="101" t="s">
        <v>117</v>
      </c>
      <c r="E360" s="84" t="s">
        <v>49</v>
      </c>
      <c r="F360" s="85"/>
      <c r="G360" s="86" t="s">
        <v>123</v>
      </c>
      <c r="H360" s="87" t="s">
        <v>123</v>
      </c>
      <c r="I360" s="86"/>
      <c r="J360" s="86"/>
      <c r="K360" s="87"/>
      <c r="L360" s="86"/>
      <c r="M360" s="86"/>
      <c r="N360" s="87"/>
      <c r="O360" s="86"/>
      <c r="P360" s="86"/>
      <c r="Q360" s="87"/>
    </row>
    <row r="361" spans="1:17" ht="45" customHeight="1">
      <c r="A361" s="81">
        <v>52</v>
      </c>
      <c r="B361" s="82"/>
      <c r="C361" s="101" t="s">
        <v>107</v>
      </c>
      <c r="D361" s="101" t="s">
        <v>117</v>
      </c>
      <c r="E361" s="84" t="s">
        <v>49</v>
      </c>
      <c r="F361" s="85"/>
      <c r="G361" s="85"/>
      <c r="H361" s="88"/>
      <c r="I361" s="86"/>
      <c r="J361" s="86"/>
      <c r="K361" s="87"/>
      <c r="L361" s="86"/>
      <c r="M361" s="86"/>
      <c r="N361" s="87"/>
      <c r="O361" s="86"/>
      <c r="P361" s="86"/>
      <c r="Q361" s="87"/>
    </row>
    <row r="362" spans="1:17" ht="14.45" customHeight="1">
      <c r="A362" s="81">
        <v>52</v>
      </c>
      <c r="B362" s="82"/>
      <c r="C362" s="101" t="s">
        <v>107</v>
      </c>
      <c r="D362" s="101" t="s">
        <v>117</v>
      </c>
      <c r="E362" s="84" t="s">
        <v>49</v>
      </c>
      <c r="F362" s="89">
        <v>982</v>
      </c>
      <c r="G362" s="89">
        <v>1015</v>
      </c>
      <c r="H362" s="90">
        <v>184</v>
      </c>
      <c r="I362" s="86"/>
      <c r="J362" s="86"/>
      <c r="K362" s="87"/>
      <c r="L362" s="86"/>
      <c r="M362" s="86"/>
      <c r="N362" s="87"/>
      <c r="O362" s="86"/>
      <c r="P362" s="86"/>
      <c r="Q362" s="87"/>
    </row>
    <row r="363" spans="1:17" ht="45" customHeight="1">
      <c r="A363" s="81">
        <v>52</v>
      </c>
      <c r="B363" s="82"/>
      <c r="C363" s="101" t="s">
        <v>107</v>
      </c>
      <c r="D363" s="101" t="s">
        <v>117</v>
      </c>
      <c r="E363" s="84" t="s">
        <v>49</v>
      </c>
      <c r="F363" s="85"/>
      <c r="G363" s="85"/>
      <c r="H363" s="88"/>
      <c r="I363" s="86"/>
      <c r="J363" s="86"/>
      <c r="K363" s="87"/>
      <c r="L363" s="86"/>
      <c r="M363" s="86"/>
      <c r="N363" s="87"/>
      <c r="O363" s="86"/>
      <c r="P363" s="86"/>
      <c r="Q363" s="87"/>
    </row>
    <row r="364" spans="1:17" ht="14.45" customHeight="1">
      <c r="A364" s="81">
        <v>52</v>
      </c>
      <c r="B364" s="82"/>
      <c r="C364" s="101" t="s">
        <v>107</v>
      </c>
      <c r="D364" s="101" t="s">
        <v>117</v>
      </c>
      <c r="E364" s="84" t="s">
        <v>49</v>
      </c>
      <c r="F364" s="89">
        <v>33</v>
      </c>
      <c r="G364" s="89">
        <v>14</v>
      </c>
      <c r="H364" s="90">
        <v>10</v>
      </c>
      <c r="I364" s="86"/>
      <c r="J364" s="86"/>
      <c r="K364" s="87"/>
      <c r="L364" s="86"/>
      <c r="M364" s="86"/>
      <c r="N364" s="87"/>
      <c r="O364" s="86"/>
      <c r="P364" s="86"/>
      <c r="Q364" s="87"/>
    </row>
    <row r="365" spans="1:17" ht="24" customHeight="1">
      <c r="A365" s="91">
        <v>52</v>
      </c>
      <c r="B365" s="92"/>
      <c r="C365" s="102" t="s">
        <v>107</v>
      </c>
      <c r="D365" s="102" t="s">
        <v>117</v>
      </c>
      <c r="E365" s="94" t="s">
        <v>49</v>
      </c>
      <c r="F365" s="95" t="s">
        <v>56</v>
      </c>
      <c r="G365" s="96">
        <v>962000</v>
      </c>
      <c r="H365" s="97">
        <v>962000</v>
      </c>
      <c r="I365" s="98"/>
      <c r="J365" s="98"/>
      <c r="K365" s="99"/>
      <c r="L365" s="98"/>
      <c r="M365" s="98"/>
      <c r="N365" s="99"/>
      <c r="O365" s="98"/>
      <c r="P365" s="98"/>
      <c r="Q365" s="99"/>
    </row>
    <row r="366" spans="1:17" ht="14.45" customHeight="1">
      <c r="A366" s="75">
        <v>53</v>
      </c>
      <c r="B366" s="76"/>
      <c r="C366" s="100" t="s">
        <v>120</v>
      </c>
      <c r="D366" s="100" t="s">
        <v>117</v>
      </c>
      <c r="E366" s="78" t="s">
        <v>79</v>
      </c>
      <c r="F366" s="79" t="s">
        <v>50</v>
      </c>
      <c r="G366" s="79" t="s">
        <v>50</v>
      </c>
      <c r="H366" s="80" t="s">
        <v>50</v>
      </c>
      <c r="I366" s="79"/>
      <c r="J366" s="79"/>
      <c r="K366" s="80"/>
      <c r="L366" s="79"/>
      <c r="M366" s="79"/>
      <c r="N366" s="80"/>
      <c r="O366" s="79"/>
      <c r="P366" s="79"/>
      <c r="Q366" s="80"/>
    </row>
    <row r="367" spans="1:17" ht="60" customHeight="1">
      <c r="A367" s="81">
        <v>53</v>
      </c>
      <c r="B367" s="82"/>
      <c r="C367" s="101" t="s">
        <v>120</v>
      </c>
      <c r="D367" s="101" t="s">
        <v>117</v>
      </c>
      <c r="E367" s="84" t="s">
        <v>79</v>
      </c>
      <c r="F367" s="85"/>
      <c r="G367" s="86" t="s">
        <v>140</v>
      </c>
      <c r="H367" s="87" t="s">
        <v>140</v>
      </c>
      <c r="I367" s="86"/>
      <c r="J367" s="86"/>
      <c r="K367" s="87"/>
      <c r="L367" s="86"/>
      <c r="M367" s="86"/>
      <c r="N367" s="87"/>
      <c r="O367" s="86"/>
      <c r="P367" s="86"/>
      <c r="Q367" s="87"/>
    </row>
    <row r="368" spans="1:17" ht="45" customHeight="1">
      <c r="A368" s="81">
        <v>53</v>
      </c>
      <c r="B368" s="82"/>
      <c r="C368" s="101" t="s">
        <v>120</v>
      </c>
      <c r="D368" s="101" t="s">
        <v>117</v>
      </c>
      <c r="E368" s="84" t="s">
        <v>79</v>
      </c>
      <c r="F368" s="85"/>
      <c r="G368" s="85"/>
      <c r="H368" s="88"/>
      <c r="I368" s="86"/>
      <c r="J368" s="86"/>
      <c r="K368" s="87"/>
      <c r="L368" s="86"/>
      <c r="M368" s="86"/>
      <c r="N368" s="87"/>
      <c r="O368" s="86"/>
      <c r="P368" s="86"/>
      <c r="Q368" s="87"/>
    </row>
    <row r="369" spans="1:17" ht="14.45" customHeight="1">
      <c r="A369" s="81">
        <v>53</v>
      </c>
      <c r="B369" s="82"/>
      <c r="C369" s="101" t="s">
        <v>120</v>
      </c>
      <c r="D369" s="101" t="s">
        <v>117</v>
      </c>
      <c r="E369" s="84" t="s">
        <v>79</v>
      </c>
      <c r="F369" s="89">
        <v>381</v>
      </c>
      <c r="G369" s="89">
        <v>908</v>
      </c>
      <c r="H369" s="90">
        <v>163</v>
      </c>
      <c r="I369" s="86"/>
      <c r="J369" s="86"/>
      <c r="K369" s="87"/>
      <c r="L369" s="86"/>
      <c r="M369" s="86"/>
      <c r="N369" s="87"/>
      <c r="O369" s="86"/>
      <c r="P369" s="86"/>
      <c r="Q369" s="87"/>
    </row>
    <row r="370" spans="1:17" ht="45" customHeight="1">
      <c r="A370" s="81">
        <v>53</v>
      </c>
      <c r="B370" s="82"/>
      <c r="C370" s="101" t="s">
        <v>120</v>
      </c>
      <c r="D370" s="101" t="s">
        <v>117</v>
      </c>
      <c r="E370" s="84" t="s">
        <v>79</v>
      </c>
      <c r="F370" s="85"/>
      <c r="G370" s="85"/>
      <c r="H370" s="88"/>
      <c r="I370" s="86"/>
      <c r="J370" s="86"/>
      <c r="K370" s="87"/>
      <c r="L370" s="86"/>
      <c r="M370" s="86"/>
      <c r="N370" s="87"/>
      <c r="O370" s="86"/>
      <c r="P370" s="86"/>
      <c r="Q370" s="87"/>
    </row>
    <row r="371" spans="1:17" ht="14.45" customHeight="1">
      <c r="A371" s="81">
        <v>53</v>
      </c>
      <c r="B371" s="82"/>
      <c r="C371" s="101" t="s">
        <v>120</v>
      </c>
      <c r="D371" s="101" t="s">
        <v>117</v>
      </c>
      <c r="E371" s="84" t="s">
        <v>79</v>
      </c>
      <c r="F371" s="89">
        <v>941</v>
      </c>
      <c r="G371" s="85"/>
      <c r="H371" s="88"/>
      <c r="I371" s="86"/>
      <c r="J371" s="86"/>
      <c r="K371" s="87"/>
      <c r="L371" s="86"/>
      <c r="M371" s="86"/>
      <c r="N371" s="87"/>
      <c r="O371" s="86"/>
      <c r="P371" s="86"/>
      <c r="Q371" s="87"/>
    </row>
    <row r="372" spans="1:17" ht="24" customHeight="1">
      <c r="A372" s="91">
        <v>53</v>
      </c>
      <c r="B372" s="92"/>
      <c r="C372" s="102" t="s">
        <v>120</v>
      </c>
      <c r="D372" s="102" t="s">
        <v>117</v>
      </c>
      <c r="E372" s="94" t="s">
        <v>79</v>
      </c>
      <c r="F372" s="95" t="s">
        <v>56</v>
      </c>
      <c r="G372" s="96">
        <v>311000</v>
      </c>
      <c r="H372" s="97">
        <v>311000</v>
      </c>
      <c r="I372" s="98"/>
      <c r="J372" s="98"/>
      <c r="K372" s="99"/>
      <c r="L372" s="98"/>
      <c r="M372" s="98"/>
      <c r="N372" s="99"/>
      <c r="O372" s="98"/>
      <c r="P372" s="98"/>
      <c r="Q372" s="99"/>
    </row>
    <row r="373" spans="1:17" ht="14.45" customHeight="1">
      <c r="A373" s="75">
        <v>54</v>
      </c>
      <c r="B373" s="76"/>
      <c r="C373" s="100" t="s">
        <v>112</v>
      </c>
      <c r="D373" s="100" t="s">
        <v>117</v>
      </c>
      <c r="E373" s="78" t="s">
        <v>69</v>
      </c>
      <c r="F373" s="79" t="s">
        <v>50</v>
      </c>
      <c r="G373" s="79" t="s">
        <v>50</v>
      </c>
      <c r="H373" s="80" t="s">
        <v>50</v>
      </c>
      <c r="I373" s="79"/>
      <c r="J373" s="79"/>
      <c r="K373" s="80"/>
      <c r="L373" s="79"/>
      <c r="M373" s="79"/>
      <c r="N373" s="80"/>
      <c r="O373" s="79"/>
      <c r="P373" s="79"/>
      <c r="Q373" s="80"/>
    </row>
    <row r="374" spans="1:17" ht="60" customHeight="1">
      <c r="A374" s="81">
        <v>54</v>
      </c>
      <c r="B374" s="82"/>
      <c r="C374" s="101" t="s">
        <v>112</v>
      </c>
      <c r="D374" s="101" t="s">
        <v>117</v>
      </c>
      <c r="E374" s="84" t="s">
        <v>69</v>
      </c>
      <c r="F374" s="85"/>
      <c r="G374" s="86" t="s">
        <v>127</v>
      </c>
      <c r="H374" s="87" t="s">
        <v>127</v>
      </c>
      <c r="I374" s="86"/>
      <c r="J374" s="86"/>
      <c r="K374" s="87"/>
      <c r="L374" s="86"/>
      <c r="M374" s="86"/>
      <c r="N374" s="87"/>
      <c r="O374" s="86"/>
      <c r="P374" s="86"/>
      <c r="Q374" s="87"/>
    </row>
    <row r="375" spans="1:17" ht="45" customHeight="1">
      <c r="A375" s="81">
        <v>54</v>
      </c>
      <c r="B375" s="82"/>
      <c r="C375" s="101" t="s">
        <v>112</v>
      </c>
      <c r="D375" s="101" t="s">
        <v>117</v>
      </c>
      <c r="E375" s="84" t="s">
        <v>69</v>
      </c>
      <c r="F375" s="85"/>
      <c r="G375" s="85"/>
      <c r="H375" s="88"/>
      <c r="I375" s="86"/>
      <c r="J375" s="86"/>
      <c r="K375" s="87"/>
      <c r="L375" s="86"/>
      <c r="M375" s="86"/>
      <c r="N375" s="87"/>
      <c r="O375" s="86"/>
      <c r="P375" s="86"/>
      <c r="Q375" s="87"/>
    </row>
    <row r="376" spans="1:17" ht="14.45" customHeight="1">
      <c r="A376" s="81">
        <v>54</v>
      </c>
      <c r="B376" s="82"/>
      <c r="C376" s="101" t="s">
        <v>112</v>
      </c>
      <c r="D376" s="101" t="s">
        <v>117</v>
      </c>
      <c r="E376" s="84" t="s">
        <v>69</v>
      </c>
      <c r="F376" s="89">
        <v>35</v>
      </c>
      <c r="G376" s="89">
        <v>14</v>
      </c>
      <c r="H376" s="90">
        <v>193</v>
      </c>
      <c r="I376" s="86"/>
      <c r="J376" s="86"/>
      <c r="K376" s="87"/>
      <c r="L376" s="86"/>
      <c r="M376" s="86"/>
      <c r="N376" s="87"/>
      <c r="O376" s="86"/>
      <c r="P376" s="86"/>
      <c r="Q376" s="87"/>
    </row>
    <row r="377" spans="1:17" ht="45" customHeight="1">
      <c r="A377" s="81">
        <v>54</v>
      </c>
      <c r="B377" s="82"/>
      <c r="C377" s="101" t="s">
        <v>112</v>
      </c>
      <c r="D377" s="101" t="s">
        <v>117</v>
      </c>
      <c r="E377" s="84" t="s">
        <v>69</v>
      </c>
      <c r="F377" s="85"/>
      <c r="G377" s="85"/>
      <c r="H377" s="88"/>
      <c r="I377" s="86"/>
      <c r="J377" s="86"/>
      <c r="K377" s="87"/>
      <c r="L377" s="86"/>
      <c r="M377" s="86"/>
      <c r="N377" s="87"/>
      <c r="O377" s="86"/>
      <c r="P377" s="86"/>
      <c r="Q377" s="87"/>
    </row>
    <row r="378" spans="1:17" ht="14.45" customHeight="1">
      <c r="A378" s="81">
        <v>54</v>
      </c>
      <c r="B378" s="82"/>
      <c r="C378" s="101" t="s">
        <v>112</v>
      </c>
      <c r="D378" s="101" t="s">
        <v>117</v>
      </c>
      <c r="E378" s="84" t="s">
        <v>69</v>
      </c>
      <c r="F378" s="89">
        <v>1128</v>
      </c>
      <c r="G378" s="89">
        <v>10</v>
      </c>
      <c r="H378" s="88"/>
      <c r="I378" s="86"/>
      <c r="J378" s="86"/>
      <c r="K378" s="87"/>
      <c r="L378" s="86"/>
      <c r="M378" s="86"/>
      <c r="N378" s="87"/>
      <c r="O378" s="86"/>
      <c r="P378" s="86"/>
      <c r="Q378" s="87"/>
    </row>
    <row r="379" spans="1:17" ht="24" customHeight="1">
      <c r="A379" s="91">
        <v>54</v>
      </c>
      <c r="B379" s="92"/>
      <c r="C379" s="102" t="s">
        <v>112</v>
      </c>
      <c r="D379" s="102" t="s">
        <v>117</v>
      </c>
      <c r="E379" s="94" t="s">
        <v>69</v>
      </c>
      <c r="F379" s="95" t="s">
        <v>56</v>
      </c>
      <c r="G379" s="96">
        <v>686000</v>
      </c>
      <c r="H379" s="97">
        <v>686000</v>
      </c>
      <c r="I379" s="98"/>
      <c r="J379" s="98"/>
      <c r="K379" s="99"/>
      <c r="L379" s="98"/>
      <c r="M379" s="98"/>
      <c r="N379" s="99"/>
      <c r="O379" s="98"/>
      <c r="P379" s="98"/>
      <c r="Q379" s="99"/>
    </row>
    <row r="380" spans="1:17" ht="14.45" customHeight="1">
      <c r="A380" s="75">
        <v>55</v>
      </c>
      <c r="B380" s="76"/>
      <c r="C380" s="100" t="s">
        <v>94</v>
      </c>
      <c r="D380" s="100" t="s">
        <v>117</v>
      </c>
      <c r="E380" s="78" t="s">
        <v>92</v>
      </c>
      <c r="F380" s="79" t="s">
        <v>50</v>
      </c>
      <c r="G380" s="79" t="s">
        <v>50</v>
      </c>
      <c r="H380" s="80" t="s">
        <v>50</v>
      </c>
      <c r="I380" s="79" t="s">
        <v>51</v>
      </c>
      <c r="J380" s="79" t="s">
        <v>51</v>
      </c>
      <c r="K380" s="80" t="s">
        <v>51</v>
      </c>
      <c r="L380" s="79"/>
      <c r="M380" s="79"/>
      <c r="N380" s="80"/>
      <c r="O380" s="79"/>
      <c r="P380" s="79"/>
      <c r="Q380" s="80"/>
    </row>
    <row r="381" spans="1:17" ht="60" customHeight="1">
      <c r="A381" s="81">
        <v>55</v>
      </c>
      <c r="B381" s="82"/>
      <c r="C381" s="101" t="s">
        <v>94</v>
      </c>
      <c r="D381" s="101" t="s">
        <v>117</v>
      </c>
      <c r="E381" s="84" t="s">
        <v>92</v>
      </c>
      <c r="F381" s="85"/>
      <c r="G381" s="86" t="s">
        <v>141</v>
      </c>
      <c r="H381" s="87" t="s">
        <v>141</v>
      </c>
      <c r="I381" s="85"/>
      <c r="J381" s="86" t="s">
        <v>141</v>
      </c>
      <c r="K381" s="87" t="s">
        <v>141</v>
      </c>
      <c r="L381" s="86"/>
      <c r="M381" s="86"/>
      <c r="N381" s="87"/>
      <c r="O381" s="86"/>
      <c r="P381" s="86"/>
      <c r="Q381" s="87"/>
    </row>
    <row r="382" spans="1:17" ht="45" customHeight="1">
      <c r="A382" s="81">
        <v>55</v>
      </c>
      <c r="B382" s="82"/>
      <c r="C382" s="101" t="s">
        <v>94</v>
      </c>
      <c r="D382" s="101" t="s">
        <v>117</v>
      </c>
      <c r="E382" s="84" t="s">
        <v>92</v>
      </c>
      <c r="F382" s="85"/>
      <c r="G382" s="85"/>
      <c r="H382" s="88"/>
      <c r="I382" s="85"/>
      <c r="J382" s="85"/>
      <c r="K382" s="88"/>
      <c r="L382" s="86"/>
      <c r="M382" s="86"/>
      <c r="N382" s="87"/>
      <c r="O382" s="86"/>
      <c r="P382" s="86"/>
      <c r="Q382" s="87"/>
    </row>
    <row r="383" spans="1:17" ht="14.45" customHeight="1">
      <c r="A383" s="81">
        <v>55</v>
      </c>
      <c r="B383" s="82"/>
      <c r="C383" s="101" t="s">
        <v>94</v>
      </c>
      <c r="D383" s="101" t="s">
        <v>117</v>
      </c>
      <c r="E383" s="84" t="s">
        <v>92</v>
      </c>
      <c r="F383" s="89">
        <v>235</v>
      </c>
      <c r="G383" s="89">
        <v>609</v>
      </c>
      <c r="H383" s="90">
        <v>344</v>
      </c>
      <c r="I383" s="89">
        <v>391</v>
      </c>
      <c r="J383" s="89">
        <v>333</v>
      </c>
      <c r="K383" s="90">
        <v>100</v>
      </c>
      <c r="L383" s="86"/>
      <c r="M383" s="86"/>
      <c r="N383" s="87"/>
      <c r="O383" s="86"/>
      <c r="P383" s="86"/>
      <c r="Q383" s="87"/>
    </row>
    <row r="384" spans="1:17" ht="45" customHeight="1">
      <c r="A384" s="81">
        <v>55</v>
      </c>
      <c r="B384" s="82"/>
      <c r="C384" s="101" t="s">
        <v>94</v>
      </c>
      <c r="D384" s="101" t="s">
        <v>117</v>
      </c>
      <c r="E384" s="84" t="s">
        <v>92</v>
      </c>
      <c r="F384" s="85"/>
      <c r="G384" s="85"/>
      <c r="H384" s="88"/>
      <c r="I384" s="85"/>
      <c r="J384" s="85"/>
      <c r="K384" s="88"/>
      <c r="L384" s="86"/>
      <c r="M384" s="86"/>
      <c r="N384" s="87"/>
      <c r="O384" s="86"/>
      <c r="P384" s="86"/>
      <c r="Q384" s="87"/>
    </row>
    <row r="385" spans="1:17" ht="14.45" customHeight="1">
      <c r="A385" s="81">
        <v>55</v>
      </c>
      <c r="B385" s="82"/>
      <c r="C385" s="101" t="s">
        <v>94</v>
      </c>
      <c r="D385" s="101" t="s">
        <v>117</v>
      </c>
      <c r="E385" s="84" t="s">
        <v>92</v>
      </c>
      <c r="F385" s="89">
        <v>272</v>
      </c>
      <c r="G385" s="85"/>
      <c r="H385" s="88"/>
      <c r="I385" s="89">
        <v>6</v>
      </c>
      <c r="J385" s="85"/>
      <c r="K385" s="88"/>
      <c r="L385" s="86"/>
      <c r="M385" s="86"/>
      <c r="N385" s="87"/>
      <c r="O385" s="86"/>
      <c r="P385" s="86"/>
      <c r="Q385" s="87"/>
    </row>
    <row r="386" spans="1:17" ht="24" customHeight="1">
      <c r="A386" s="91">
        <v>55</v>
      </c>
      <c r="B386" s="92"/>
      <c r="C386" s="102" t="s">
        <v>94</v>
      </c>
      <c r="D386" s="102" t="s">
        <v>117</v>
      </c>
      <c r="E386" s="94" t="s">
        <v>92</v>
      </c>
      <c r="F386" s="95" t="s">
        <v>56</v>
      </c>
      <c r="G386" s="96">
        <v>333000</v>
      </c>
      <c r="H386" s="97">
        <v>333000</v>
      </c>
      <c r="I386" s="95" t="s">
        <v>56</v>
      </c>
      <c r="J386" s="96">
        <v>342000</v>
      </c>
      <c r="K386" s="97">
        <v>342000</v>
      </c>
      <c r="L386" s="98"/>
      <c r="M386" s="98"/>
      <c r="N386" s="99"/>
      <c r="O386" s="98"/>
      <c r="P386" s="98"/>
      <c r="Q386" s="99"/>
    </row>
    <row r="387" spans="1:17" ht="14.45" customHeight="1">
      <c r="A387" s="75">
        <v>56</v>
      </c>
      <c r="B387" s="76"/>
      <c r="C387" s="100" t="s">
        <v>96</v>
      </c>
      <c r="D387" s="100" t="s">
        <v>117</v>
      </c>
      <c r="E387" s="78" t="s">
        <v>92</v>
      </c>
      <c r="F387" s="79" t="s">
        <v>50</v>
      </c>
      <c r="G387" s="79" t="s">
        <v>50</v>
      </c>
      <c r="H387" s="80" t="s">
        <v>50</v>
      </c>
      <c r="I387" s="79" t="s">
        <v>51</v>
      </c>
      <c r="J387" s="79" t="s">
        <v>51</v>
      </c>
      <c r="K387" s="80" t="s">
        <v>51</v>
      </c>
      <c r="L387" s="79"/>
      <c r="M387" s="79"/>
      <c r="N387" s="80"/>
      <c r="O387" s="79"/>
      <c r="P387" s="79"/>
      <c r="Q387" s="80"/>
    </row>
    <row r="388" spans="1:17" ht="60" customHeight="1">
      <c r="A388" s="81">
        <v>56</v>
      </c>
      <c r="B388" s="82"/>
      <c r="C388" s="101" t="s">
        <v>96</v>
      </c>
      <c r="D388" s="101" t="s">
        <v>117</v>
      </c>
      <c r="E388" s="84" t="s">
        <v>92</v>
      </c>
      <c r="F388" s="85"/>
      <c r="G388" s="86" t="s">
        <v>142</v>
      </c>
      <c r="H388" s="87" t="s">
        <v>142</v>
      </c>
      <c r="I388" s="85"/>
      <c r="J388" s="86" t="s">
        <v>142</v>
      </c>
      <c r="K388" s="87" t="s">
        <v>142</v>
      </c>
      <c r="L388" s="86"/>
      <c r="M388" s="86"/>
      <c r="N388" s="87"/>
      <c r="O388" s="86"/>
      <c r="P388" s="86"/>
      <c r="Q388" s="87"/>
    </row>
    <row r="389" spans="1:17" ht="45" customHeight="1">
      <c r="A389" s="81">
        <v>56</v>
      </c>
      <c r="B389" s="82"/>
      <c r="C389" s="101" t="s">
        <v>96</v>
      </c>
      <c r="D389" s="101" t="s">
        <v>117</v>
      </c>
      <c r="E389" s="84" t="s">
        <v>92</v>
      </c>
      <c r="F389" s="85"/>
      <c r="G389" s="85"/>
      <c r="H389" s="88"/>
      <c r="I389" s="85"/>
      <c r="J389" s="85"/>
      <c r="K389" s="88"/>
      <c r="L389" s="86"/>
      <c r="M389" s="86"/>
      <c r="N389" s="87"/>
      <c r="O389" s="86"/>
      <c r="P389" s="86"/>
      <c r="Q389" s="87"/>
    </row>
    <row r="390" spans="1:17" ht="14.45" customHeight="1">
      <c r="A390" s="81">
        <v>56</v>
      </c>
      <c r="B390" s="82"/>
      <c r="C390" s="101" t="s">
        <v>96</v>
      </c>
      <c r="D390" s="101" t="s">
        <v>117</v>
      </c>
      <c r="E390" s="84" t="s">
        <v>92</v>
      </c>
      <c r="F390" s="89">
        <v>235</v>
      </c>
      <c r="G390" s="89">
        <v>609</v>
      </c>
      <c r="H390" s="90">
        <v>344</v>
      </c>
      <c r="I390" s="89">
        <v>391</v>
      </c>
      <c r="J390" s="89">
        <v>333</v>
      </c>
      <c r="K390" s="90">
        <v>100</v>
      </c>
      <c r="L390" s="86"/>
      <c r="M390" s="86"/>
      <c r="N390" s="87"/>
      <c r="O390" s="86"/>
      <c r="P390" s="86"/>
      <c r="Q390" s="87"/>
    </row>
    <row r="391" spans="1:17" ht="45" customHeight="1">
      <c r="A391" s="81">
        <v>56</v>
      </c>
      <c r="B391" s="82"/>
      <c r="C391" s="101" t="s">
        <v>96</v>
      </c>
      <c r="D391" s="101" t="s">
        <v>117</v>
      </c>
      <c r="E391" s="84" t="s">
        <v>92</v>
      </c>
      <c r="F391" s="85"/>
      <c r="G391" s="85"/>
      <c r="H391" s="88"/>
      <c r="I391" s="85"/>
      <c r="J391" s="85"/>
      <c r="K391" s="88"/>
      <c r="L391" s="86"/>
      <c r="M391" s="86"/>
      <c r="N391" s="87"/>
      <c r="O391" s="86"/>
      <c r="P391" s="86"/>
      <c r="Q391" s="87"/>
    </row>
    <row r="392" spans="1:17" ht="14.45" customHeight="1">
      <c r="A392" s="81">
        <v>56</v>
      </c>
      <c r="B392" s="82"/>
      <c r="C392" s="101" t="s">
        <v>96</v>
      </c>
      <c r="D392" s="101" t="s">
        <v>117</v>
      </c>
      <c r="E392" s="84" t="s">
        <v>92</v>
      </c>
      <c r="F392" s="89">
        <v>272</v>
      </c>
      <c r="G392" s="85"/>
      <c r="H392" s="88"/>
      <c r="I392" s="89">
        <v>6</v>
      </c>
      <c r="J392" s="85"/>
      <c r="K392" s="88"/>
      <c r="L392" s="86"/>
      <c r="M392" s="86"/>
      <c r="N392" s="87"/>
      <c r="O392" s="86"/>
      <c r="P392" s="86"/>
      <c r="Q392" s="87"/>
    </row>
    <row r="393" spans="1:17" ht="24" customHeight="1">
      <c r="A393" s="91">
        <v>56</v>
      </c>
      <c r="B393" s="92"/>
      <c r="C393" s="102" t="s">
        <v>96</v>
      </c>
      <c r="D393" s="102" t="s">
        <v>117</v>
      </c>
      <c r="E393" s="94" t="s">
        <v>92</v>
      </c>
      <c r="F393" s="95" t="s">
        <v>56</v>
      </c>
      <c r="G393" s="96">
        <v>333000</v>
      </c>
      <c r="H393" s="97">
        <v>333000</v>
      </c>
      <c r="I393" s="95" t="s">
        <v>56</v>
      </c>
      <c r="J393" s="96">
        <v>342000</v>
      </c>
      <c r="K393" s="97">
        <v>342000</v>
      </c>
      <c r="L393" s="98"/>
      <c r="M393" s="98"/>
      <c r="N393" s="99"/>
      <c r="O393" s="98"/>
      <c r="P393" s="98"/>
      <c r="Q393" s="99"/>
    </row>
    <row r="394" spans="1:17" ht="14.45" customHeight="1">
      <c r="A394" s="75">
        <v>57</v>
      </c>
      <c r="B394" s="76"/>
      <c r="C394" s="100" t="s">
        <v>93</v>
      </c>
      <c r="D394" s="100" t="s">
        <v>117</v>
      </c>
      <c r="E394" s="78" t="s">
        <v>92</v>
      </c>
      <c r="F394" s="79" t="s">
        <v>50</v>
      </c>
      <c r="G394" s="79" t="s">
        <v>50</v>
      </c>
      <c r="H394" s="80" t="s">
        <v>50</v>
      </c>
      <c r="I394" s="79" t="s">
        <v>51</v>
      </c>
      <c r="J394" s="79" t="s">
        <v>51</v>
      </c>
      <c r="K394" s="80" t="s">
        <v>51</v>
      </c>
      <c r="L394" s="79"/>
      <c r="M394" s="79"/>
      <c r="N394" s="80"/>
      <c r="O394" s="79"/>
      <c r="P394" s="79"/>
      <c r="Q394" s="80"/>
    </row>
    <row r="395" spans="1:17" ht="60" customHeight="1">
      <c r="A395" s="81">
        <v>57</v>
      </c>
      <c r="B395" s="82"/>
      <c r="C395" s="101" t="s">
        <v>93</v>
      </c>
      <c r="D395" s="101" t="s">
        <v>117</v>
      </c>
      <c r="E395" s="84" t="s">
        <v>92</v>
      </c>
      <c r="F395" s="85"/>
      <c r="G395" s="86" t="s">
        <v>141</v>
      </c>
      <c r="H395" s="87" t="s">
        <v>141</v>
      </c>
      <c r="I395" s="85"/>
      <c r="J395" s="86" t="s">
        <v>141</v>
      </c>
      <c r="K395" s="87" t="s">
        <v>141</v>
      </c>
      <c r="L395" s="86"/>
      <c r="M395" s="86"/>
      <c r="N395" s="87"/>
      <c r="O395" s="86"/>
      <c r="P395" s="86"/>
      <c r="Q395" s="87"/>
    </row>
    <row r="396" spans="1:17" ht="45" customHeight="1">
      <c r="A396" s="81">
        <v>57</v>
      </c>
      <c r="B396" s="82"/>
      <c r="C396" s="101" t="s">
        <v>93</v>
      </c>
      <c r="D396" s="101" t="s">
        <v>117</v>
      </c>
      <c r="E396" s="84" t="s">
        <v>92</v>
      </c>
      <c r="F396" s="85"/>
      <c r="G396" s="85"/>
      <c r="H396" s="88"/>
      <c r="I396" s="85"/>
      <c r="J396" s="85"/>
      <c r="K396" s="88"/>
      <c r="L396" s="86"/>
      <c r="M396" s="86"/>
      <c r="N396" s="87"/>
      <c r="O396" s="86"/>
      <c r="P396" s="86"/>
      <c r="Q396" s="87"/>
    </row>
    <row r="397" spans="1:17" ht="14.45" customHeight="1">
      <c r="A397" s="81">
        <v>57</v>
      </c>
      <c r="B397" s="82"/>
      <c r="C397" s="101" t="s">
        <v>93</v>
      </c>
      <c r="D397" s="101" t="s">
        <v>117</v>
      </c>
      <c r="E397" s="84" t="s">
        <v>92</v>
      </c>
      <c r="F397" s="89">
        <v>235</v>
      </c>
      <c r="G397" s="89">
        <v>609</v>
      </c>
      <c r="H397" s="90">
        <v>344</v>
      </c>
      <c r="I397" s="89">
        <v>391</v>
      </c>
      <c r="J397" s="89">
        <v>333</v>
      </c>
      <c r="K397" s="90">
        <v>100</v>
      </c>
      <c r="L397" s="86"/>
      <c r="M397" s="86"/>
      <c r="N397" s="87"/>
      <c r="O397" s="86"/>
      <c r="P397" s="86"/>
      <c r="Q397" s="87"/>
    </row>
    <row r="398" spans="1:17" ht="45" customHeight="1">
      <c r="A398" s="81">
        <v>57</v>
      </c>
      <c r="B398" s="82"/>
      <c r="C398" s="101" t="s">
        <v>93</v>
      </c>
      <c r="D398" s="101" t="s">
        <v>117</v>
      </c>
      <c r="E398" s="84" t="s">
        <v>92</v>
      </c>
      <c r="F398" s="85"/>
      <c r="G398" s="85"/>
      <c r="H398" s="88"/>
      <c r="I398" s="85"/>
      <c r="J398" s="85"/>
      <c r="K398" s="88"/>
      <c r="L398" s="86"/>
      <c r="M398" s="86"/>
      <c r="N398" s="87"/>
      <c r="O398" s="86"/>
      <c r="P398" s="86"/>
      <c r="Q398" s="87"/>
    </row>
    <row r="399" spans="1:17" ht="14.45" customHeight="1">
      <c r="A399" s="81">
        <v>57</v>
      </c>
      <c r="B399" s="82"/>
      <c r="C399" s="101" t="s">
        <v>93</v>
      </c>
      <c r="D399" s="101" t="s">
        <v>117</v>
      </c>
      <c r="E399" s="84" t="s">
        <v>92</v>
      </c>
      <c r="F399" s="89">
        <v>272</v>
      </c>
      <c r="G399" s="85"/>
      <c r="H399" s="88"/>
      <c r="I399" s="89">
        <v>6</v>
      </c>
      <c r="J399" s="85"/>
      <c r="K399" s="88"/>
      <c r="L399" s="86"/>
      <c r="M399" s="86"/>
      <c r="N399" s="87"/>
      <c r="O399" s="86"/>
      <c r="P399" s="86"/>
      <c r="Q399" s="87"/>
    </row>
    <row r="400" spans="1:17" ht="24" customHeight="1">
      <c r="A400" s="91">
        <v>57</v>
      </c>
      <c r="B400" s="92"/>
      <c r="C400" s="102" t="s">
        <v>93</v>
      </c>
      <c r="D400" s="102" t="s">
        <v>117</v>
      </c>
      <c r="E400" s="94" t="s">
        <v>92</v>
      </c>
      <c r="F400" s="95" t="s">
        <v>56</v>
      </c>
      <c r="G400" s="96">
        <v>333000</v>
      </c>
      <c r="H400" s="97">
        <v>333000</v>
      </c>
      <c r="I400" s="95" t="s">
        <v>56</v>
      </c>
      <c r="J400" s="96">
        <v>342000</v>
      </c>
      <c r="K400" s="97">
        <v>342000</v>
      </c>
      <c r="L400" s="98"/>
      <c r="M400" s="98"/>
      <c r="N400" s="99"/>
      <c r="O400" s="98"/>
      <c r="P400" s="98"/>
      <c r="Q400" s="99"/>
    </row>
    <row r="401" spans="1:17" ht="14.45" customHeight="1">
      <c r="A401" s="75">
        <v>58</v>
      </c>
      <c r="B401" s="76"/>
      <c r="C401" s="100" t="s">
        <v>123</v>
      </c>
      <c r="D401" s="100" t="s">
        <v>117</v>
      </c>
      <c r="E401" s="78" t="s">
        <v>49</v>
      </c>
      <c r="F401" s="79" t="s">
        <v>50</v>
      </c>
      <c r="G401" s="79" t="s">
        <v>50</v>
      </c>
      <c r="H401" s="80" t="s">
        <v>50</v>
      </c>
      <c r="I401" s="79"/>
      <c r="J401" s="79"/>
      <c r="K401" s="80"/>
      <c r="L401" s="79"/>
      <c r="M401" s="79"/>
      <c r="N401" s="80"/>
      <c r="O401" s="79"/>
      <c r="P401" s="79"/>
      <c r="Q401" s="80"/>
    </row>
    <row r="402" spans="1:17" ht="60" customHeight="1">
      <c r="A402" s="81">
        <v>58</v>
      </c>
      <c r="B402" s="82"/>
      <c r="C402" s="101" t="s">
        <v>123</v>
      </c>
      <c r="D402" s="101" t="s">
        <v>117</v>
      </c>
      <c r="E402" s="84" t="s">
        <v>49</v>
      </c>
      <c r="F402" s="85"/>
      <c r="G402" s="86" t="s">
        <v>143</v>
      </c>
      <c r="H402" s="87" t="s">
        <v>143</v>
      </c>
      <c r="I402" s="86"/>
      <c r="J402" s="86"/>
      <c r="K402" s="87"/>
      <c r="L402" s="86"/>
      <c r="M402" s="86"/>
      <c r="N402" s="87"/>
      <c r="O402" s="86"/>
      <c r="P402" s="86"/>
      <c r="Q402" s="87"/>
    </row>
    <row r="403" spans="1:17" ht="45" customHeight="1">
      <c r="A403" s="81">
        <v>58</v>
      </c>
      <c r="B403" s="82"/>
      <c r="C403" s="101" t="s">
        <v>123</v>
      </c>
      <c r="D403" s="101" t="s">
        <v>117</v>
      </c>
      <c r="E403" s="84" t="s">
        <v>49</v>
      </c>
      <c r="F403" s="85"/>
      <c r="G403" s="85"/>
      <c r="H403" s="88"/>
      <c r="I403" s="86"/>
      <c r="J403" s="86"/>
      <c r="K403" s="87"/>
      <c r="L403" s="86"/>
      <c r="M403" s="86"/>
      <c r="N403" s="87"/>
      <c r="O403" s="86"/>
      <c r="P403" s="86"/>
      <c r="Q403" s="87"/>
    </row>
    <row r="404" spans="1:17" ht="14.45" customHeight="1">
      <c r="A404" s="81">
        <v>58</v>
      </c>
      <c r="B404" s="82"/>
      <c r="C404" s="101" t="s">
        <v>123</v>
      </c>
      <c r="D404" s="101" t="s">
        <v>117</v>
      </c>
      <c r="E404" s="84" t="s">
        <v>49</v>
      </c>
      <c r="F404" s="89">
        <v>450</v>
      </c>
      <c r="G404" s="89">
        <v>867</v>
      </c>
      <c r="H404" s="90">
        <v>125</v>
      </c>
      <c r="I404" s="86"/>
      <c r="J404" s="86"/>
      <c r="K404" s="87"/>
      <c r="L404" s="86"/>
      <c r="M404" s="86"/>
      <c r="N404" s="87"/>
      <c r="O404" s="86"/>
      <c r="P404" s="86"/>
      <c r="Q404" s="87"/>
    </row>
    <row r="405" spans="1:17" ht="45" customHeight="1">
      <c r="A405" s="81">
        <v>58</v>
      </c>
      <c r="B405" s="82"/>
      <c r="C405" s="101" t="s">
        <v>123</v>
      </c>
      <c r="D405" s="101" t="s">
        <v>117</v>
      </c>
      <c r="E405" s="84" t="s">
        <v>49</v>
      </c>
      <c r="F405" s="85"/>
      <c r="G405" s="85"/>
      <c r="H405" s="88"/>
      <c r="I405" s="86"/>
      <c r="J405" s="86"/>
      <c r="K405" s="87"/>
      <c r="L405" s="86"/>
      <c r="M405" s="86"/>
      <c r="N405" s="87"/>
      <c r="O405" s="86"/>
      <c r="P405" s="86"/>
      <c r="Q405" s="87"/>
    </row>
    <row r="406" spans="1:17" ht="14.45" customHeight="1">
      <c r="A406" s="81">
        <v>58</v>
      </c>
      <c r="B406" s="82"/>
      <c r="C406" s="101" t="s">
        <v>123</v>
      </c>
      <c r="D406" s="101" t="s">
        <v>117</v>
      </c>
      <c r="E406" s="84" t="s">
        <v>49</v>
      </c>
      <c r="F406" s="89">
        <v>899</v>
      </c>
      <c r="G406" s="85"/>
      <c r="H406" s="88"/>
      <c r="I406" s="86"/>
      <c r="J406" s="86"/>
      <c r="K406" s="87"/>
      <c r="L406" s="86"/>
      <c r="M406" s="86"/>
      <c r="N406" s="87"/>
      <c r="O406" s="86"/>
      <c r="P406" s="86"/>
      <c r="Q406" s="87"/>
    </row>
    <row r="407" spans="1:17" ht="24" customHeight="1">
      <c r="A407" s="91">
        <v>58</v>
      </c>
      <c r="B407" s="92"/>
      <c r="C407" s="102" t="s">
        <v>123</v>
      </c>
      <c r="D407" s="102" t="s">
        <v>117</v>
      </c>
      <c r="E407" s="94" t="s">
        <v>49</v>
      </c>
      <c r="F407" s="95" t="s">
        <v>56</v>
      </c>
      <c r="G407" s="96">
        <v>295000</v>
      </c>
      <c r="H407" s="97">
        <v>295000</v>
      </c>
      <c r="I407" s="98"/>
      <c r="J407" s="98"/>
      <c r="K407" s="99"/>
      <c r="L407" s="98"/>
      <c r="M407" s="98"/>
      <c r="N407" s="99"/>
      <c r="O407" s="98"/>
      <c r="P407" s="98"/>
      <c r="Q407" s="99"/>
    </row>
    <row r="408" spans="1:17" ht="14.45" customHeight="1">
      <c r="A408" s="75">
        <v>59</v>
      </c>
      <c r="B408" s="76"/>
      <c r="C408" s="100" t="s">
        <v>124</v>
      </c>
      <c r="D408" s="100" t="s">
        <v>117</v>
      </c>
      <c r="E408" s="78" t="s">
        <v>49</v>
      </c>
      <c r="F408" s="79" t="s">
        <v>50</v>
      </c>
      <c r="G408" s="79" t="s">
        <v>50</v>
      </c>
      <c r="H408" s="80" t="s">
        <v>50</v>
      </c>
      <c r="I408" s="79"/>
      <c r="J408" s="79"/>
      <c r="K408" s="80"/>
      <c r="L408" s="79"/>
      <c r="M408" s="79"/>
      <c r="N408" s="80"/>
      <c r="O408" s="79"/>
      <c r="P408" s="79"/>
      <c r="Q408" s="80"/>
    </row>
    <row r="409" spans="1:17" ht="60" customHeight="1">
      <c r="A409" s="81">
        <v>59</v>
      </c>
      <c r="B409" s="82"/>
      <c r="C409" s="101" t="s">
        <v>124</v>
      </c>
      <c r="D409" s="101" t="s">
        <v>117</v>
      </c>
      <c r="E409" s="84" t="s">
        <v>49</v>
      </c>
      <c r="F409" s="85"/>
      <c r="G409" s="86" t="s">
        <v>143</v>
      </c>
      <c r="H409" s="87" t="s">
        <v>143</v>
      </c>
      <c r="I409" s="86"/>
      <c r="J409" s="86"/>
      <c r="K409" s="87"/>
      <c r="L409" s="86"/>
      <c r="M409" s="86"/>
      <c r="N409" s="87"/>
      <c r="O409" s="86"/>
      <c r="P409" s="86"/>
      <c r="Q409" s="87"/>
    </row>
    <row r="410" spans="1:17" ht="45" customHeight="1">
      <c r="A410" s="81">
        <v>59</v>
      </c>
      <c r="B410" s="82"/>
      <c r="C410" s="101" t="s">
        <v>124</v>
      </c>
      <c r="D410" s="101" t="s">
        <v>117</v>
      </c>
      <c r="E410" s="84" t="s">
        <v>49</v>
      </c>
      <c r="F410" s="85"/>
      <c r="G410" s="85"/>
      <c r="H410" s="88"/>
      <c r="I410" s="86"/>
      <c r="J410" s="86"/>
      <c r="K410" s="87"/>
      <c r="L410" s="86"/>
      <c r="M410" s="86"/>
      <c r="N410" s="87"/>
      <c r="O410" s="86"/>
      <c r="P410" s="86"/>
      <c r="Q410" s="87"/>
    </row>
    <row r="411" spans="1:17" ht="14.45" customHeight="1">
      <c r="A411" s="81">
        <v>59</v>
      </c>
      <c r="B411" s="82"/>
      <c r="C411" s="101" t="s">
        <v>124</v>
      </c>
      <c r="D411" s="101" t="s">
        <v>117</v>
      </c>
      <c r="E411" s="84" t="s">
        <v>49</v>
      </c>
      <c r="F411" s="89">
        <v>450</v>
      </c>
      <c r="G411" s="89">
        <v>867</v>
      </c>
      <c r="H411" s="90">
        <v>125</v>
      </c>
      <c r="I411" s="86"/>
      <c r="J411" s="86"/>
      <c r="K411" s="87"/>
      <c r="L411" s="86"/>
      <c r="M411" s="86"/>
      <c r="N411" s="87"/>
      <c r="O411" s="86"/>
      <c r="P411" s="86"/>
      <c r="Q411" s="87"/>
    </row>
    <row r="412" spans="1:17" ht="45" customHeight="1">
      <c r="A412" s="81">
        <v>59</v>
      </c>
      <c r="B412" s="82"/>
      <c r="C412" s="101" t="s">
        <v>124</v>
      </c>
      <c r="D412" s="101" t="s">
        <v>117</v>
      </c>
      <c r="E412" s="84" t="s">
        <v>49</v>
      </c>
      <c r="F412" s="85"/>
      <c r="G412" s="85"/>
      <c r="H412" s="88"/>
      <c r="I412" s="86"/>
      <c r="J412" s="86"/>
      <c r="K412" s="87"/>
      <c r="L412" s="86"/>
      <c r="M412" s="86"/>
      <c r="N412" s="87"/>
      <c r="O412" s="86"/>
      <c r="P412" s="86"/>
      <c r="Q412" s="87"/>
    </row>
    <row r="413" spans="1:17" ht="14.45" customHeight="1">
      <c r="A413" s="81">
        <v>59</v>
      </c>
      <c r="B413" s="82"/>
      <c r="C413" s="101" t="s">
        <v>124</v>
      </c>
      <c r="D413" s="101" t="s">
        <v>117</v>
      </c>
      <c r="E413" s="84" t="s">
        <v>49</v>
      </c>
      <c r="F413" s="89">
        <v>899</v>
      </c>
      <c r="G413" s="85"/>
      <c r="H413" s="88"/>
      <c r="I413" s="86"/>
      <c r="J413" s="86"/>
      <c r="K413" s="87"/>
      <c r="L413" s="86"/>
      <c r="M413" s="86"/>
      <c r="N413" s="87"/>
      <c r="O413" s="86"/>
      <c r="P413" s="86"/>
      <c r="Q413" s="87"/>
    </row>
    <row r="414" spans="1:17" ht="24" customHeight="1">
      <c r="A414" s="91">
        <v>59</v>
      </c>
      <c r="B414" s="92"/>
      <c r="C414" s="102" t="s">
        <v>124</v>
      </c>
      <c r="D414" s="102" t="s">
        <v>117</v>
      </c>
      <c r="E414" s="94" t="s">
        <v>49</v>
      </c>
      <c r="F414" s="95" t="s">
        <v>56</v>
      </c>
      <c r="G414" s="96">
        <v>295000</v>
      </c>
      <c r="H414" s="97">
        <v>295000</v>
      </c>
      <c r="I414" s="98"/>
      <c r="J414" s="98"/>
      <c r="K414" s="99"/>
      <c r="L414" s="98"/>
      <c r="M414" s="98"/>
      <c r="N414" s="99"/>
      <c r="O414" s="98"/>
      <c r="P414" s="98"/>
      <c r="Q414" s="99"/>
    </row>
    <row r="415" spans="1:17" ht="14.45" customHeight="1">
      <c r="A415" s="75">
        <v>60</v>
      </c>
      <c r="B415" s="76"/>
      <c r="C415" s="100" t="s">
        <v>122</v>
      </c>
      <c r="D415" s="100" t="s">
        <v>117</v>
      </c>
      <c r="E415" s="78" t="s">
        <v>49</v>
      </c>
      <c r="F415" s="79" t="s">
        <v>50</v>
      </c>
      <c r="G415" s="79" t="s">
        <v>50</v>
      </c>
      <c r="H415" s="80" t="s">
        <v>50</v>
      </c>
      <c r="I415" s="79"/>
      <c r="J415" s="79"/>
      <c r="K415" s="80"/>
      <c r="L415" s="79"/>
      <c r="M415" s="79"/>
      <c r="N415" s="80"/>
      <c r="O415" s="79"/>
      <c r="P415" s="79"/>
      <c r="Q415" s="80"/>
    </row>
    <row r="416" spans="1:17" ht="60" customHeight="1">
      <c r="A416" s="81">
        <v>60</v>
      </c>
      <c r="B416" s="82"/>
      <c r="C416" s="101" t="s">
        <v>122</v>
      </c>
      <c r="D416" s="101" t="s">
        <v>117</v>
      </c>
      <c r="E416" s="84" t="s">
        <v>49</v>
      </c>
      <c r="F416" s="85"/>
      <c r="G416" s="86" t="s">
        <v>144</v>
      </c>
      <c r="H416" s="87" t="s">
        <v>144</v>
      </c>
      <c r="I416" s="86"/>
      <c r="J416" s="86"/>
      <c r="K416" s="87"/>
      <c r="L416" s="86"/>
      <c r="M416" s="86"/>
      <c r="N416" s="87"/>
      <c r="O416" s="86"/>
      <c r="P416" s="86"/>
      <c r="Q416" s="87"/>
    </row>
    <row r="417" spans="1:17" ht="45" customHeight="1">
      <c r="A417" s="81">
        <v>60</v>
      </c>
      <c r="B417" s="82"/>
      <c r="C417" s="101" t="s">
        <v>122</v>
      </c>
      <c r="D417" s="101" t="s">
        <v>117</v>
      </c>
      <c r="E417" s="84" t="s">
        <v>49</v>
      </c>
      <c r="F417" s="85"/>
      <c r="G417" s="85"/>
      <c r="H417" s="88"/>
      <c r="I417" s="86"/>
      <c r="J417" s="86"/>
      <c r="K417" s="87"/>
      <c r="L417" s="86"/>
      <c r="M417" s="86"/>
      <c r="N417" s="87"/>
      <c r="O417" s="86"/>
      <c r="P417" s="86"/>
      <c r="Q417" s="87"/>
    </row>
    <row r="418" spans="1:17" ht="14.45" customHeight="1">
      <c r="A418" s="81">
        <v>60</v>
      </c>
      <c r="B418" s="82"/>
      <c r="C418" s="101" t="s">
        <v>122</v>
      </c>
      <c r="D418" s="101" t="s">
        <v>117</v>
      </c>
      <c r="E418" s="84" t="s">
        <v>49</v>
      </c>
      <c r="F418" s="89">
        <v>450</v>
      </c>
      <c r="G418" s="89">
        <v>867</v>
      </c>
      <c r="H418" s="90">
        <v>125</v>
      </c>
      <c r="I418" s="86"/>
      <c r="J418" s="86"/>
      <c r="K418" s="87"/>
      <c r="L418" s="86"/>
      <c r="M418" s="86"/>
      <c r="N418" s="87"/>
      <c r="O418" s="86"/>
      <c r="P418" s="86"/>
      <c r="Q418" s="87"/>
    </row>
    <row r="419" spans="1:17" ht="45" customHeight="1">
      <c r="A419" s="81">
        <v>60</v>
      </c>
      <c r="B419" s="82"/>
      <c r="C419" s="101" t="s">
        <v>122</v>
      </c>
      <c r="D419" s="101" t="s">
        <v>117</v>
      </c>
      <c r="E419" s="84" t="s">
        <v>49</v>
      </c>
      <c r="F419" s="85"/>
      <c r="G419" s="85"/>
      <c r="H419" s="88"/>
      <c r="I419" s="86"/>
      <c r="J419" s="86"/>
      <c r="K419" s="87"/>
      <c r="L419" s="86"/>
      <c r="M419" s="86"/>
      <c r="N419" s="87"/>
      <c r="O419" s="86"/>
      <c r="P419" s="86"/>
      <c r="Q419" s="87"/>
    </row>
    <row r="420" spans="1:17" ht="14.45" customHeight="1">
      <c r="A420" s="81">
        <v>60</v>
      </c>
      <c r="B420" s="82"/>
      <c r="C420" s="101" t="s">
        <v>122</v>
      </c>
      <c r="D420" s="101" t="s">
        <v>117</v>
      </c>
      <c r="E420" s="84" t="s">
        <v>49</v>
      </c>
      <c r="F420" s="89">
        <v>899</v>
      </c>
      <c r="G420" s="85"/>
      <c r="H420" s="88"/>
      <c r="I420" s="86"/>
      <c r="J420" s="86"/>
      <c r="K420" s="87"/>
      <c r="L420" s="86"/>
      <c r="M420" s="86"/>
      <c r="N420" s="87"/>
      <c r="O420" s="86"/>
      <c r="P420" s="86"/>
      <c r="Q420" s="87"/>
    </row>
    <row r="421" spans="1:17" ht="24" customHeight="1">
      <c r="A421" s="91">
        <v>60</v>
      </c>
      <c r="B421" s="92"/>
      <c r="C421" s="102" t="s">
        <v>122</v>
      </c>
      <c r="D421" s="102" t="s">
        <v>117</v>
      </c>
      <c r="E421" s="94" t="s">
        <v>49</v>
      </c>
      <c r="F421" s="95" t="s">
        <v>56</v>
      </c>
      <c r="G421" s="96">
        <v>295000</v>
      </c>
      <c r="H421" s="97">
        <v>295000</v>
      </c>
      <c r="I421" s="98"/>
      <c r="J421" s="98"/>
      <c r="K421" s="99"/>
      <c r="L421" s="98"/>
      <c r="M421" s="98"/>
      <c r="N421" s="99"/>
      <c r="O421" s="98"/>
      <c r="P421" s="98"/>
      <c r="Q421" s="99"/>
    </row>
    <row r="422" spans="1:17" ht="14.45" customHeight="1">
      <c r="A422" s="75">
        <v>61</v>
      </c>
      <c r="B422" s="76"/>
      <c r="C422" s="100" t="s">
        <v>121</v>
      </c>
      <c r="D422" s="100" t="s">
        <v>117</v>
      </c>
      <c r="E422" s="78" t="s">
        <v>49</v>
      </c>
      <c r="F422" s="79" t="s">
        <v>50</v>
      </c>
      <c r="G422" s="79" t="s">
        <v>50</v>
      </c>
      <c r="H422" s="80" t="s">
        <v>50</v>
      </c>
      <c r="I422" s="79" t="s">
        <v>51</v>
      </c>
      <c r="J422" s="79" t="s">
        <v>51</v>
      </c>
      <c r="K422" s="80" t="s">
        <v>51</v>
      </c>
      <c r="L422" s="79"/>
      <c r="M422" s="79"/>
      <c r="N422" s="80"/>
      <c r="O422" s="79"/>
      <c r="P422" s="79"/>
      <c r="Q422" s="80"/>
    </row>
    <row r="423" spans="1:17" ht="60" customHeight="1">
      <c r="A423" s="81">
        <v>61</v>
      </c>
      <c r="B423" s="82"/>
      <c r="C423" s="101" t="s">
        <v>121</v>
      </c>
      <c r="D423" s="101" t="s">
        <v>117</v>
      </c>
      <c r="E423" s="84" t="s">
        <v>49</v>
      </c>
      <c r="F423" s="85"/>
      <c r="G423" s="86" t="s">
        <v>143</v>
      </c>
      <c r="H423" s="87" t="s">
        <v>143</v>
      </c>
      <c r="I423" s="85"/>
      <c r="J423" s="86" t="s">
        <v>145</v>
      </c>
      <c r="K423" s="87" t="s">
        <v>145</v>
      </c>
      <c r="L423" s="86"/>
      <c r="M423" s="86"/>
      <c r="N423" s="87"/>
      <c r="O423" s="86"/>
      <c r="P423" s="86"/>
      <c r="Q423" s="87"/>
    </row>
    <row r="424" spans="1:17" ht="45" customHeight="1">
      <c r="A424" s="81">
        <v>61</v>
      </c>
      <c r="B424" s="82"/>
      <c r="C424" s="101" t="s">
        <v>121</v>
      </c>
      <c r="D424" s="101" t="s">
        <v>117</v>
      </c>
      <c r="E424" s="84" t="s">
        <v>49</v>
      </c>
      <c r="F424" s="85"/>
      <c r="G424" s="85"/>
      <c r="H424" s="88"/>
      <c r="I424" s="85"/>
      <c r="J424" s="85"/>
      <c r="K424" s="88"/>
      <c r="L424" s="86"/>
      <c r="M424" s="86"/>
      <c r="N424" s="87"/>
      <c r="O424" s="86"/>
      <c r="P424" s="86"/>
      <c r="Q424" s="87"/>
    </row>
    <row r="425" spans="1:17" ht="14.45" customHeight="1">
      <c r="A425" s="81">
        <v>61</v>
      </c>
      <c r="B425" s="82"/>
      <c r="C425" s="101" t="s">
        <v>121</v>
      </c>
      <c r="D425" s="101" t="s">
        <v>117</v>
      </c>
      <c r="E425" s="84" t="s">
        <v>49</v>
      </c>
      <c r="F425" s="89">
        <v>450</v>
      </c>
      <c r="G425" s="89">
        <v>867</v>
      </c>
      <c r="H425" s="90">
        <v>125</v>
      </c>
      <c r="I425" s="89">
        <v>364</v>
      </c>
      <c r="J425" s="89">
        <v>867</v>
      </c>
      <c r="K425" s="90">
        <v>155</v>
      </c>
      <c r="L425" s="86"/>
      <c r="M425" s="86"/>
      <c r="N425" s="87"/>
      <c r="O425" s="86"/>
      <c r="P425" s="86"/>
      <c r="Q425" s="87"/>
    </row>
    <row r="426" spans="1:17" ht="45" customHeight="1">
      <c r="A426" s="81">
        <v>61</v>
      </c>
      <c r="B426" s="82"/>
      <c r="C426" s="101" t="s">
        <v>121</v>
      </c>
      <c r="D426" s="101" t="s">
        <v>117</v>
      </c>
      <c r="E426" s="84" t="s">
        <v>49</v>
      </c>
      <c r="F426" s="85"/>
      <c r="G426" s="85"/>
      <c r="H426" s="88"/>
      <c r="I426" s="85"/>
      <c r="J426" s="85"/>
      <c r="K426" s="88"/>
      <c r="L426" s="86"/>
      <c r="M426" s="86"/>
      <c r="N426" s="87"/>
      <c r="O426" s="86"/>
      <c r="P426" s="86"/>
      <c r="Q426" s="87"/>
    </row>
    <row r="427" spans="1:17" ht="14.45" customHeight="1">
      <c r="A427" s="81">
        <v>61</v>
      </c>
      <c r="B427" s="82"/>
      <c r="C427" s="101" t="s">
        <v>121</v>
      </c>
      <c r="D427" s="101" t="s">
        <v>117</v>
      </c>
      <c r="E427" s="84" t="s">
        <v>49</v>
      </c>
      <c r="F427" s="89">
        <v>899</v>
      </c>
      <c r="G427" s="85"/>
      <c r="H427" s="88"/>
      <c r="I427" s="89">
        <v>899</v>
      </c>
      <c r="J427" s="85"/>
      <c r="K427" s="88"/>
      <c r="L427" s="86"/>
      <c r="M427" s="86"/>
      <c r="N427" s="87"/>
      <c r="O427" s="86"/>
      <c r="P427" s="86"/>
      <c r="Q427" s="87"/>
    </row>
    <row r="428" spans="1:17" ht="24" customHeight="1">
      <c r="A428" s="91">
        <v>61</v>
      </c>
      <c r="B428" s="92"/>
      <c r="C428" s="102" t="s">
        <v>121</v>
      </c>
      <c r="D428" s="102" t="s">
        <v>117</v>
      </c>
      <c r="E428" s="94" t="s">
        <v>49</v>
      </c>
      <c r="F428" s="95" t="s">
        <v>56</v>
      </c>
      <c r="G428" s="96">
        <v>295000</v>
      </c>
      <c r="H428" s="97">
        <v>295000</v>
      </c>
      <c r="I428" s="95" t="s">
        <v>56</v>
      </c>
      <c r="J428" s="96">
        <v>297000</v>
      </c>
      <c r="K428" s="97">
        <v>297000</v>
      </c>
      <c r="L428" s="98"/>
      <c r="M428" s="98"/>
      <c r="N428" s="99"/>
      <c r="O428" s="98"/>
      <c r="P428" s="98"/>
      <c r="Q428" s="99"/>
    </row>
    <row r="429" spans="1:17" ht="14.45" customHeight="1">
      <c r="A429" s="75">
        <v>62</v>
      </c>
      <c r="B429" s="76"/>
      <c r="C429" s="100" t="s">
        <v>118</v>
      </c>
      <c r="D429" s="100" t="s">
        <v>117</v>
      </c>
      <c r="E429" s="78" t="s">
        <v>49</v>
      </c>
      <c r="F429" s="79" t="s">
        <v>50</v>
      </c>
      <c r="G429" s="79" t="s">
        <v>50</v>
      </c>
      <c r="H429" s="80" t="s">
        <v>50</v>
      </c>
      <c r="I429" s="79"/>
      <c r="J429" s="79"/>
      <c r="K429" s="80"/>
      <c r="L429" s="79"/>
      <c r="M429" s="79"/>
      <c r="N429" s="80"/>
      <c r="O429" s="79"/>
      <c r="P429" s="79"/>
      <c r="Q429" s="80"/>
    </row>
    <row r="430" spans="1:17" ht="60" customHeight="1">
      <c r="A430" s="81">
        <v>62</v>
      </c>
      <c r="B430" s="82"/>
      <c r="C430" s="101" t="s">
        <v>118</v>
      </c>
      <c r="D430" s="101" t="s">
        <v>117</v>
      </c>
      <c r="E430" s="84" t="s">
        <v>49</v>
      </c>
      <c r="F430" s="85"/>
      <c r="G430" s="86" t="s">
        <v>146</v>
      </c>
      <c r="H430" s="87" t="s">
        <v>146</v>
      </c>
      <c r="I430" s="86"/>
      <c r="J430" s="86"/>
      <c r="K430" s="87"/>
      <c r="L430" s="86"/>
      <c r="M430" s="86"/>
      <c r="N430" s="87"/>
      <c r="O430" s="86"/>
      <c r="P430" s="86"/>
      <c r="Q430" s="87"/>
    </row>
    <row r="431" spans="1:17" ht="45" customHeight="1">
      <c r="A431" s="81">
        <v>62</v>
      </c>
      <c r="B431" s="82"/>
      <c r="C431" s="101" t="s">
        <v>118</v>
      </c>
      <c r="D431" s="101" t="s">
        <v>117</v>
      </c>
      <c r="E431" s="84" t="s">
        <v>49</v>
      </c>
      <c r="F431" s="85"/>
      <c r="G431" s="85"/>
      <c r="H431" s="88"/>
      <c r="I431" s="86"/>
      <c r="J431" s="86"/>
      <c r="K431" s="87"/>
      <c r="L431" s="86"/>
      <c r="M431" s="86"/>
      <c r="N431" s="87"/>
      <c r="O431" s="86"/>
      <c r="P431" s="86"/>
      <c r="Q431" s="87"/>
    </row>
    <row r="432" spans="1:17" ht="14.45" customHeight="1">
      <c r="A432" s="81">
        <v>62</v>
      </c>
      <c r="B432" s="82"/>
      <c r="C432" s="101" t="s">
        <v>118</v>
      </c>
      <c r="D432" s="101" t="s">
        <v>117</v>
      </c>
      <c r="E432" s="84" t="s">
        <v>49</v>
      </c>
      <c r="F432" s="89">
        <v>364</v>
      </c>
      <c r="G432" s="89">
        <v>867</v>
      </c>
      <c r="H432" s="90">
        <v>155</v>
      </c>
      <c r="I432" s="86"/>
      <c r="J432" s="86"/>
      <c r="K432" s="87"/>
      <c r="L432" s="86"/>
      <c r="M432" s="86"/>
      <c r="N432" s="87"/>
      <c r="O432" s="86"/>
      <c r="P432" s="86"/>
      <c r="Q432" s="87"/>
    </row>
    <row r="433" spans="1:17" ht="45" customHeight="1">
      <c r="A433" s="81">
        <v>62</v>
      </c>
      <c r="B433" s="82"/>
      <c r="C433" s="101" t="s">
        <v>118</v>
      </c>
      <c r="D433" s="101" t="s">
        <v>117</v>
      </c>
      <c r="E433" s="84" t="s">
        <v>49</v>
      </c>
      <c r="F433" s="85"/>
      <c r="G433" s="85"/>
      <c r="H433" s="88"/>
      <c r="I433" s="86"/>
      <c r="J433" s="86"/>
      <c r="K433" s="87"/>
      <c r="L433" s="86"/>
      <c r="M433" s="86"/>
      <c r="N433" s="87"/>
      <c r="O433" s="86"/>
      <c r="P433" s="86"/>
      <c r="Q433" s="87"/>
    </row>
    <row r="434" spans="1:17" ht="14.45" customHeight="1">
      <c r="A434" s="81">
        <v>62</v>
      </c>
      <c r="B434" s="82"/>
      <c r="C434" s="101" t="s">
        <v>118</v>
      </c>
      <c r="D434" s="101" t="s">
        <v>117</v>
      </c>
      <c r="E434" s="84" t="s">
        <v>49</v>
      </c>
      <c r="F434" s="89">
        <v>899</v>
      </c>
      <c r="G434" s="85"/>
      <c r="H434" s="88"/>
      <c r="I434" s="86"/>
      <c r="J434" s="86"/>
      <c r="K434" s="87"/>
      <c r="L434" s="86"/>
      <c r="M434" s="86"/>
      <c r="N434" s="87"/>
      <c r="O434" s="86"/>
      <c r="P434" s="86"/>
      <c r="Q434" s="87"/>
    </row>
    <row r="435" spans="1:17" ht="24" customHeight="1">
      <c r="A435" s="91">
        <v>62</v>
      </c>
      <c r="B435" s="92"/>
      <c r="C435" s="102" t="s">
        <v>118</v>
      </c>
      <c r="D435" s="102" t="s">
        <v>117</v>
      </c>
      <c r="E435" s="94" t="s">
        <v>49</v>
      </c>
      <c r="F435" s="95" t="s">
        <v>56</v>
      </c>
      <c r="G435" s="96">
        <v>297000</v>
      </c>
      <c r="H435" s="97">
        <v>297000</v>
      </c>
      <c r="I435" s="98"/>
      <c r="J435" s="98"/>
      <c r="K435" s="99"/>
      <c r="L435" s="98"/>
      <c r="M435" s="98"/>
      <c r="N435" s="99"/>
      <c r="O435" s="98"/>
      <c r="P435" s="98"/>
      <c r="Q435" s="99"/>
    </row>
    <row r="436" spans="1:17" ht="14.45" customHeight="1">
      <c r="A436" s="75">
        <v>63</v>
      </c>
      <c r="B436" s="76"/>
      <c r="C436" s="100" t="s">
        <v>125</v>
      </c>
      <c r="D436" s="100" t="s">
        <v>117</v>
      </c>
      <c r="E436" s="78" t="s">
        <v>49</v>
      </c>
      <c r="F436" s="79" t="s">
        <v>50</v>
      </c>
      <c r="G436" s="79" t="s">
        <v>50</v>
      </c>
      <c r="H436" s="80" t="s">
        <v>50</v>
      </c>
      <c r="I436" s="79"/>
      <c r="J436" s="79"/>
      <c r="K436" s="80"/>
      <c r="L436" s="79"/>
      <c r="M436" s="79"/>
      <c r="N436" s="80"/>
      <c r="O436" s="79"/>
      <c r="P436" s="79"/>
      <c r="Q436" s="80"/>
    </row>
    <row r="437" spans="1:17" ht="60" customHeight="1">
      <c r="A437" s="81">
        <v>63</v>
      </c>
      <c r="B437" s="82"/>
      <c r="C437" s="101" t="s">
        <v>125</v>
      </c>
      <c r="D437" s="101" t="s">
        <v>117</v>
      </c>
      <c r="E437" s="84" t="s">
        <v>49</v>
      </c>
      <c r="F437" s="85"/>
      <c r="G437" s="86" t="s">
        <v>147</v>
      </c>
      <c r="H437" s="87" t="s">
        <v>147</v>
      </c>
      <c r="I437" s="86"/>
      <c r="J437" s="86"/>
      <c r="K437" s="87"/>
      <c r="L437" s="86"/>
      <c r="M437" s="86"/>
      <c r="N437" s="87"/>
      <c r="O437" s="86"/>
      <c r="P437" s="86"/>
      <c r="Q437" s="87"/>
    </row>
    <row r="438" spans="1:17" ht="45" customHeight="1">
      <c r="A438" s="81">
        <v>63</v>
      </c>
      <c r="B438" s="82"/>
      <c r="C438" s="101" t="s">
        <v>125</v>
      </c>
      <c r="D438" s="101" t="s">
        <v>117</v>
      </c>
      <c r="E438" s="84" t="s">
        <v>49</v>
      </c>
      <c r="F438" s="85"/>
      <c r="G438" s="85"/>
      <c r="H438" s="88"/>
      <c r="I438" s="86"/>
      <c r="J438" s="86"/>
      <c r="K438" s="87"/>
      <c r="L438" s="86"/>
      <c r="M438" s="86"/>
      <c r="N438" s="87"/>
      <c r="O438" s="86"/>
      <c r="P438" s="86"/>
      <c r="Q438" s="87"/>
    </row>
    <row r="439" spans="1:17" ht="14.45" customHeight="1">
      <c r="A439" s="81">
        <v>63</v>
      </c>
      <c r="B439" s="82"/>
      <c r="C439" s="101" t="s">
        <v>125</v>
      </c>
      <c r="D439" s="101" t="s">
        <v>117</v>
      </c>
      <c r="E439" s="84" t="s">
        <v>49</v>
      </c>
      <c r="F439" s="89">
        <v>364</v>
      </c>
      <c r="G439" s="89">
        <v>867</v>
      </c>
      <c r="H439" s="90">
        <v>155</v>
      </c>
      <c r="I439" s="86"/>
      <c r="J439" s="86"/>
      <c r="K439" s="87"/>
      <c r="L439" s="86"/>
      <c r="M439" s="86"/>
      <c r="N439" s="87"/>
      <c r="O439" s="86"/>
      <c r="P439" s="86"/>
      <c r="Q439" s="87"/>
    </row>
    <row r="440" spans="1:17" ht="45" customHeight="1">
      <c r="A440" s="81">
        <v>63</v>
      </c>
      <c r="B440" s="82"/>
      <c r="C440" s="101" t="s">
        <v>125</v>
      </c>
      <c r="D440" s="101" t="s">
        <v>117</v>
      </c>
      <c r="E440" s="84" t="s">
        <v>49</v>
      </c>
      <c r="F440" s="85"/>
      <c r="G440" s="85"/>
      <c r="H440" s="88"/>
      <c r="I440" s="86"/>
      <c r="J440" s="86"/>
      <c r="K440" s="87"/>
      <c r="L440" s="86"/>
      <c r="M440" s="86"/>
      <c r="N440" s="87"/>
      <c r="O440" s="86"/>
      <c r="P440" s="86"/>
      <c r="Q440" s="87"/>
    </row>
    <row r="441" spans="1:17" ht="14.45" customHeight="1">
      <c r="A441" s="81">
        <v>63</v>
      </c>
      <c r="B441" s="82"/>
      <c r="C441" s="101" t="s">
        <v>125</v>
      </c>
      <c r="D441" s="101" t="s">
        <v>117</v>
      </c>
      <c r="E441" s="84" t="s">
        <v>49</v>
      </c>
      <c r="F441" s="89">
        <v>899</v>
      </c>
      <c r="G441" s="85"/>
      <c r="H441" s="88"/>
      <c r="I441" s="86"/>
      <c r="J441" s="86"/>
      <c r="K441" s="87"/>
      <c r="L441" s="86"/>
      <c r="M441" s="86"/>
      <c r="N441" s="87"/>
      <c r="O441" s="86"/>
      <c r="P441" s="86"/>
      <c r="Q441" s="87"/>
    </row>
    <row r="442" spans="1:17" ht="24" customHeight="1">
      <c r="A442" s="91">
        <v>63</v>
      </c>
      <c r="B442" s="92"/>
      <c r="C442" s="102" t="s">
        <v>125</v>
      </c>
      <c r="D442" s="102" t="s">
        <v>117</v>
      </c>
      <c r="E442" s="94" t="s">
        <v>49</v>
      </c>
      <c r="F442" s="95" t="s">
        <v>56</v>
      </c>
      <c r="G442" s="96">
        <v>297000</v>
      </c>
      <c r="H442" s="97">
        <v>297000</v>
      </c>
      <c r="I442" s="98"/>
      <c r="J442" s="98"/>
      <c r="K442" s="99"/>
      <c r="L442" s="98"/>
      <c r="M442" s="98"/>
      <c r="N442" s="99"/>
      <c r="O442" s="98"/>
      <c r="P442" s="98"/>
      <c r="Q442" s="99"/>
    </row>
    <row r="443" spans="1:17" ht="14.45" customHeight="1">
      <c r="A443" s="75">
        <v>64</v>
      </c>
      <c r="B443" s="76"/>
      <c r="C443" s="100" t="s">
        <v>119</v>
      </c>
      <c r="D443" s="100" t="s">
        <v>117</v>
      </c>
      <c r="E443" s="78" t="s">
        <v>49</v>
      </c>
      <c r="F443" s="79" t="s">
        <v>50</v>
      </c>
      <c r="G443" s="79" t="s">
        <v>50</v>
      </c>
      <c r="H443" s="80" t="s">
        <v>50</v>
      </c>
      <c r="I443" s="79"/>
      <c r="J443" s="79"/>
      <c r="K443" s="80"/>
      <c r="L443" s="79"/>
      <c r="M443" s="79"/>
      <c r="N443" s="80"/>
      <c r="O443" s="79"/>
      <c r="P443" s="79"/>
      <c r="Q443" s="80"/>
    </row>
    <row r="444" spans="1:17" ht="60" customHeight="1">
      <c r="A444" s="81">
        <v>64</v>
      </c>
      <c r="B444" s="82"/>
      <c r="C444" s="101" t="s">
        <v>119</v>
      </c>
      <c r="D444" s="101" t="s">
        <v>117</v>
      </c>
      <c r="E444" s="84" t="s">
        <v>49</v>
      </c>
      <c r="F444" s="85"/>
      <c r="G444" s="86" t="s">
        <v>145</v>
      </c>
      <c r="H444" s="87" t="s">
        <v>145</v>
      </c>
      <c r="I444" s="86"/>
      <c r="J444" s="86"/>
      <c r="K444" s="87"/>
      <c r="L444" s="86"/>
      <c r="M444" s="86"/>
      <c r="N444" s="87"/>
      <c r="O444" s="86"/>
      <c r="P444" s="86"/>
      <c r="Q444" s="87"/>
    </row>
    <row r="445" spans="1:17" ht="45" customHeight="1">
      <c r="A445" s="81">
        <v>64</v>
      </c>
      <c r="B445" s="82"/>
      <c r="C445" s="101" t="s">
        <v>119</v>
      </c>
      <c r="D445" s="101" t="s">
        <v>117</v>
      </c>
      <c r="E445" s="84" t="s">
        <v>49</v>
      </c>
      <c r="F445" s="85"/>
      <c r="G445" s="85"/>
      <c r="H445" s="88"/>
      <c r="I445" s="86"/>
      <c r="J445" s="86"/>
      <c r="K445" s="87"/>
      <c r="L445" s="86"/>
      <c r="M445" s="86"/>
      <c r="N445" s="87"/>
      <c r="O445" s="86"/>
      <c r="P445" s="86"/>
      <c r="Q445" s="87"/>
    </row>
    <row r="446" spans="1:17" ht="14.45" customHeight="1">
      <c r="A446" s="81">
        <v>64</v>
      </c>
      <c r="B446" s="82"/>
      <c r="C446" s="101" t="s">
        <v>119</v>
      </c>
      <c r="D446" s="101" t="s">
        <v>117</v>
      </c>
      <c r="E446" s="84" t="s">
        <v>49</v>
      </c>
      <c r="F446" s="89">
        <v>364</v>
      </c>
      <c r="G446" s="89">
        <v>867</v>
      </c>
      <c r="H446" s="90">
        <v>155</v>
      </c>
      <c r="I446" s="86"/>
      <c r="J446" s="86"/>
      <c r="K446" s="87"/>
      <c r="L446" s="86"/>
      <c r="M446" s="86"/>
      <c r="N446" s="87"/>
      <c r="O446" s="86"/>
      <c r="P446" s="86"/>
      <c r="Q446" s="87"/>
    </row>
    <row r="447" spans="1:17" ht="45" customHeight="1">
      <c r="A447" s="81">
        <v>64</v>
      </c>
      <c r="B447" s="82"/>
      <c r="C447" s="101" t="s">
        <v>119</v>
      </c>
      <c r="D447" s="101" t="s">
        <v>117</v>
      </c>
      <c r="E447" s="84" t="s">
        <v>49</v>
      </c>
      <c r="F447" s="85"/>
      <c r="G447" s="85"/>
      <c r="H447" s="88"/>
      <c r="I447" s="86"/>
      <c r="J447" s="86"/>
      <c r="K447" s="87"/>
      <c r="L447" s="86"/>
      <c r="M447" s="86"/>
      <c r="N447" s="87"/>
      <c r="O447" s="86"/>
      <c r="P447" s="86"/>
      <c r="Q447" s="87"/>
    </row>
    <row r="448" spans="1:17" ht="14.45" customHeight="1">
      <c r="A448" s="81">
        <v>64</v>
      </c>
      <c r="B448" s="82"/>
      <c r="C448" s="101" t="s">
        <v>119</v>
      </c>
      <c r="D448" s="101" t="s">
        <v>117</v>
      </c>
      <c r="E448" s="84" t="s">
        <v>49</v>
      </c>
      <c r="F448" s="89">
        <v>899</v>
      </c>
      <c r="G448" s="85"/>
      <c r="H448" s="88"/>
      <c r="I448" s="86"/>
      <c r="J448" s="86"/>
      <c r="K448" s="87"/>
      <c r="L448" s="86"/>
      <c r="M448" s="86"/>
      <c r="N448" s="87"/>
      <c r="O448" s="86"/>
      <c r="P448" s="86"/>
      <c r="Q448" s="87"/>
    </row>
    <row r="449" spans="1:17" ht="24" customHeight="1">
      <c r="A449" s="91">
        <v>64</v>
      </c>
      <c r="B449" s="92"/>
      <c r="C449" s="102" t="s">
        <v>119</v>
      </c>
      <c r="D449" s="102" t="s">
        <v>117</v>
      </c>
      <c r="E449" s="94" t="s">
        <v>49</v>
      </c>
      <c r="F449" s="95" t="s">
        <v>56</v>
      </c>
      <c r="G449" s="96">
        <v>297000</v>
      </c>
      <c r="H449" s="97">
        <v>297000</v>
      </c>
      <c r="I449" s="98"/>
      <c r="J449" s="98"/>
      <c r="K449" s="99"/>
      <c r="L449" s="98"/>
      <c r="M449" s="98"/>
      <c r="N449" s="99"/>
      <c r="O449" s="98"/>
      <c r="P449" s="98"/>
      <c r="Q449" s="99"/>
    </row>
    <row r="450" spans="1:17" ht="14.45" customHeight="1">
      <c r="A450" s="75">
        <v>65</v>
      </c>
      <c r="B450" s="76"/>
      <c r="C450" s="100" t="s">
        <v>114</v>
      </c>
      <c r="D450" s="100" t="s">
        <v>117</v>
      </c>
      <c r="E450" s="78" t="s">
        <v>109</v>
      </c>
      <c r="F450" s="79" t="s">
        <v>50</v>
      </c>
      <c r="G450" s="79" t="s">
        <v>50</v>
      </c>
      <c r="H450" s="80" t="s">
        <v>50</v>
      </c>
      <c r="I450" s="79" t="s">
        <v>51</v>
      </c>
      <c r="J450" s="79" t="s">
        <v>51</v>
      </c>
      <c r="K450" s="80" t="s">
        <v>51</v>
      </c>
      <c r="L450" s="79"/>
      <c r="M450" s="79"/>
      <c r="N450" s="80"/>
      <c r="O450" s="79"/>
      <c r="P450" s="79"/>
      <c r="Q450" s="80"/>
    </row>
    <row r="451" spans="1:17" ht="60" customHeight="1">
      <c r="A451" s="81">
        <v>65</v>
      </c>
      <c r="B451" s="82"/>
      <c r="C451" s="101" t="s">
        <v>114</v>
      </c>
      <c r="D451" s="101" t="s">
        <v>117</v>
      </c>
      <c r="E451" s="84" t="s">
        <v>109</v>
      </c>
      <c r="F451" s="85"/>
      <c r="G451" s="86" t="s">
        <v>148</v>
      </c>
      <c r="H451" s="87" t="s">
        <v>148</v>
      </c>
      <c r="I451" s="85"/>
      <c r="J451" s="86" t="s">
        <v>148</v>
      </c>
      <c r="K451" s="87" t="s">
        <v>148</v>
      </c>
      <c r="L451" s="86"/>
      <c r="M451" s="86"/>
      <c r="N451" s="87"/>
      <c r="O451" s="86"/>
      <c r="P451" s="86"/>
      <c r="Q451" s="87"/>
    </row>
    <row r="452" spans="1:17" ht="45" customHeight="1">
      <c r="A452" s="81">
        <v>65</v>
      </c>
      <c r="B452" s="82"/>
      <c r="C452" s="101" t="s">
        <v>114</v>
      </c>
      <c r="D452" s="101" t="s">
        <v>117</v>
      </c>
      <c r="E452" s="84" t="s">
        <v>109</v>
      </c>
      <c r="F452" s="85"/>
      <c r="G452" s="85"/>
      <c r="H452" s="88"/>
      <c r="I452" s="85"/>
      <c r="J452" s="85"/>
      <c r="K452" s="88"/>
      <c r="L452" s="86"/>
      <c r="M452" s="86"/>
      <c r="N452" s="87"/>
      <c r="O452" s="86"/>
      <c r="P452" s="86"/>
      <c r="Q452" s="87"/>
    </row>
    <row r="453" spans="1:17" ht="14.45" customHeight="1">
      <c r="A453" s="81">
        <v>65</v>
      </c>
      <c r="B453" s="82"/>
      <c r="C453" s="101" t="s">
        <v>114</v>
      </c>
      <c r="D453" s="101" t="s">
        <v>117</v>
      </c>
      <c r="E453" s="84" t="s">
        <v>109</v>
      </c>
      <c r="F453" s="89">
        <v>305</v>
      </c>
      <c r="G453" s="89">
        <v>215</v>
      </c>
      <c r="H453" s="90">
        <v>256</v>
      </c>
      <c r="I453" s="89">
        <v>474</v>
      </c>
      <c r="J453" s="89">
        <v>89</v>
      </c>
      <c r="K453" s="90">
        <v>7</v>
      </c>
      <c r="L453" s="86"/>
      <c r="M453" s="86"/>
      <c r="N453" s="87"/>
      <c r="O453" s="86"/>
      <c r="P453" s="86"/>
      <c r="Q453" s="87"/>
    </row>
    <row r="454" spans="1:17" ht="45" customHeight="1">
      <c r="A454" s="81">
        <v>65</v>
      </c>
      <c r="B454" s="82"/>
      <c r="C454" s="101" t="s">
        <v>114</v>
      </c>
      <c r="D454" s="101" t="s">
        <v>117</v>
      </c>
      <c r="E454" s="84" t="s">
        <v>109</v>
      </c>
      <c r="F454" s="85"/>
      <c r="G454" s="85"/>
      <c r="H454" s="88"/>
      <c r="I454" s="85"/>
      <c r="J454" s="85"/>
      <c r="K454" s="88"/>
      <c r="L454" s="86"/>
      <c r="M454" s="86"/>
      <c r="N454" s="87"/>
      <c r="O454" s="86"/>
      <c r="P454" s="86"/>
      <c r="Q454" s="87"/>
    </row>
    <row r="455" spans="1:17" ht="14.45" customHeight="1">
      <c r="A455" s="81">
        <v>65</v>
      </c>
      <c r="B455" s="82"/>
      <c r="C455" s="101" t="s">
        <v>114</v>
      </c>
      <c r="D455" s="101" t="s">
        <v>117</v>
      </c>
      <c r="E455" s="84" t="s">
        <v>109</v>
      </c>
      <c r="F455" s="89">
        <v>112</v>
      </c>
      <c r="G455" s="89">
        <v>5</v>
      </c>
      <c r="H455" s="88"/>
      <c r="I455" s="89">
        <v>6</v>
      </c>
      <c r="J455" s="89">
        <v>5</v>
      </c>
      <c r="K455" s="88"/>
      <c r="L455" s="86"/>
      <c r="M455" s="86"/>
      <c r="N455" s="87"/>
      <c r="O455" s="86"/>
      <c r="P455" s="86"/>
      <c r="Q455" s="87"/>
    </row>
    <row r="456" spans="1:17" ht="24" customHeight="1">
      <c r="A456" s="91">
        <v>65</v>
      </c>
      <c r="B456" s="92"/>
      <c r="C456" s="102" t="s">
        <v>114</v>
      </c>
      <c r="D456" s="102" t="s">
        <v>117</v>
      </c>
      <c r="E456" s="94" t="s">
        <v>109</v>
      </c>
      <c r="F456" s="95" t="s">
        <v>56</v>
      </c>
      <c r="G456" s="96">
        <v>242000</v>
      </c>
      <c r="H456" s="97">
        <v>242000</v>
      </c>
      <c r="I456" s="95" t="s">
        <v>56</v>
      </c>
      <c r="J456" s="96">
        <v>243000</v>
      </c>
      <c r="K456" s="97">
        <v>243000</v>
      </c>
      <c r="L456" s="98"/>
      <c r="M456" s="98"/>
      <c r="N456" s="99"/>
      <c r="O456" s="98"/>
      <c r="P456" s="98"/>
      <c r="Q456" s="99"/>
    </row>
    <row r="457" spans="1:17" ht="14.45" customHeight="1">
      <c r="A457" s="75">
        <v>66</v>
      </c>
      <c r="B457" s="76"/>
      <c r="C457" s="100" t="s">
        <v>133</v>
      </c>
      <c r="D457" s="100" t="s">
        <v>117</v>
      </c>
      <c r="E457" s="78" t="s">
        <v>82</v>
      </c>
      <c r="F457" s="79" t="s">
        <v>50</v>
      </c>
      <c r="G457" s="79" t="s">
        <v>50</v>
      </c>
      <c r="H457" s="80" t="s">
        <v>50</v>
      </c>
      <c r="I457" s="79"/>
      <c r="J457" s="79"/>
      <c r="K457" s="80"/>
      <c r="L457" s="79"/>
      <c r="M457" s="79"/>
      <c r="N457" s="80"/>
      <c r="O457" s="79"/>
      <c r="P457" s="79"/>
      <c r="Q457" s="80"/>
    </row>
    <row r="458" spans="1:17" ht="60" customHeight="1">
      <c r="A458" s="81">
        <v>66</v>
      </c>
      <c r="B458" s="82"/>
      <c r="C458" s="101" t="s">
        <v>133</v>
      </c>
      <c r="D458" s="101" t="s">
        <v>117</v>
      </c>
      <c r="E458" s="84" t="s">
        <v>82</v>
      </c>
      <c r="F458" s="85"/>
      <c r="G458" s="86" t="s">
        <v>149</v>
      </c>
      <c r="H458" s="87" t="s">
        <v>149</v>
      </c>
      <c r="I458" s="86"/>
      <c r="J458" s="86"/>
      <c r="K458" s="87"/>
      <c r="L458" s="86"/>
      <c r="M458" s="86"/>
      <c r="N458" s="87"/>
      <c r="O458" s="86"/>
      <c r="P458" s="86"/>
      <c r="Q458" s="87"/>
    </row>
    <row r="459" spans="1:17" ht="45" customHeight="1">
      <c r="A459" s="81">
        <v>66</v>
      </c>
      <c r="B459" s="82"/>
      <c r="C459" s="101" t="s">
        <v>133</v>
      </c>
      <c r="D459" s="101" t="s">
        <v>117</v>
      </c>
      <c r="E459" s="84" t="s">
        <v>82</v>
      </c>
      <c r="F459" s="85"/>
      <c r="G459" s="85"/>
      <c r="H459" s="88"/>
      <c r="I459" s="86"/>
      <c r="J459" s="86"/>
      <c r="K459" s="87"/>
      <c r="L459" s="86"/>
      <c r="M459" s="86"/>
      <c r="N459" s="87"/>
      <c r="O459" s="86"/>
      <c r="P459" s="86"/>
      <c r="Q459" s="87"/>
    </row>
    <row r="460" spans="1:17" ht="14.45" customHeight="1">
      <c r="A460" s="81">
        <v>66</v>
      </c>
      <c r="B460" s="82"/>
      <c r="C460" s="101" t="s">
        <v>133</v>
      </c>
      <c r="D460" s="101" t="s">
        <v>117</v>
      </c>
      <c r="E460" s="84" t="s">
        <v>82</v>
      </c>
      <c r="F460" s="89">
        <v>400</v>
      </c>
      <c r="G460" s="89">
        <v>770</v>
      </c>
      <c r="H460" s="90">
        <v>111</v>
      </c>
      <c r="I460" s="86"/>
      <c r="J460" s="86"/>
      <c r="K460" s="87"/>
      <c r="L460" s="86"/>
      <c r="M460" s="86"/>
      <c r="N460" s="87"/>
      <c r="O460" s="86"/>
      <c r="P460" s="86"/>
      <c r="Q460" s="87"/>
    </row>
    <row r="461" spans="1:17" ht="45" customHeight="1">
      <c r="A461" s="81">
        <v>66</v>
      </c>
      <c r="B461" s="82"/>
      <c r="C461" s="101" t="s">
        <v>133</v>
      </c>
      <c r="D461" s="101" t="s">
        <v>117</v>
      </c>
      <c r="E461" s="84" t="s">
        <v>82</v>
      </c>
      <c r="F461" s="85"/>
      <c r="G461" s="85"/>
      <c r="H461" s="88"/>
      <c r="I461" s="86"/>
      <c r="J461" s="86"/>
      <c r="K461" s="87"/>
      <c r="L461" s="86"/>
      <c r="M461" s="86"/>
      <c r="N461" s="87"/>
      <c r="O461" s="86"/>
      <c r="P461" s="86"/>
      <c r="Q461" s="87"/>
    </row>
    <row r="462" spans="1:17" ht="14.45" customHeight="1">
      <c r="A462" s="81">
        <v>66</v>
      </c>
      <c r="B462" s="82"/>
      <c r="C462" s="101" t="s">
        <v>133</v>
      </c>
      <c r="D462" s="101" t="s">
        <v>117</v>
      </c>
      <c r="E462" s="84" t="s">
        <v>82</v>
      </c>
      <c r="F462" s="89">
        <v>799</v>
      </c>
      <c r="G462" s="85"/>
      <c r="H462" s="88"/>
      <c r="I462" s="86"/>
      <c r="J462" s="86"/>
      <c r="K462" s="87"/>
      <c r="L462" s="86"/>
      <c r="M462" s="86"/>
      <c r="N462" s="87"/>
      <c r="O462" s="86"/>
      <c r="P462" s="86"/>
      <c r="Q462" s="87"/>
    </row>
    <row r="463" spans="1:17" ht="24" customHeight="1">
      <c r="A463" s="91">
        <v>66</v>
      </c>
      <c r="B463" s="92"/>
      <c r="C463" s="102" t="s">
        <v>133</v>
      </c>
      <c r="D463" s="102" t="s">
        <v>117</v>
      </c>
      <c r="E463" s="94" t="s">
        <v>82</v>
      </c>
      <c r="F463" s="95" t="s">
        <v>56</v>
      </c>
      <c r="G463" s="96">
        <v>262000</v>
      </c>
      <c r="H463" s="97">
        <v>262000</v>
      </c>
      <c r="I463" s="98"/>
      <c r="J463" s="98"/>
      <c r="K463" s="99"/>
      <c r="L463" s="98"/>
      <c r="M463" s="98"/>
      <c r="N463" s="99"/>
      <c r="O463" s="98"/>
      <c r="P463" s="98"/>
      <c r="Q463" s="99"/>
    </row>
    <row r="464" spans="1:17" ht="14.45" customHeight="1">
      <c r="A464" s="75">
        <v>67</v>
      </c>
      <c r="B464" s="76"/>
      <c r="C464" s="100" t="s">
        <v>134</v>
      </c>
      <c r="D464" s="100" t="s">
        <v>117</v>
      </c>
      <c r="E464" s="78" t="s">
        <v>82</v>
      </c>
      <c r="F464" s="79" t="s">
        <v>50</v>
      </c>
      <c r="G464" s="79" t="s">
        <v>50</v>
      </c>
      <c r="H464" s="80" t="s">
        <v>50</v>
      </c>
      <c r="I464" s="79"/>
      <c r="J464" s="79"/>
      <c r="K464" s="80"/>
      <c r="L464" s="79"/>
      <c r="M464" s="79"/>
      <c r="N464" s="80"/>
      <c r="O464" s="79"/>
      <c r="P464" s="79"/>
      <c r="Q464" s="80"/>
    </row>
    <row r="465" spans="1:17" ht="60" customHeight="1">
      <c r="A465" s="81">
        <v>67</v>
      </c>
      <c r="B465" s="82"/>
      <c r="C465" s="101" t="s">
        <v>134</v>
      </c>
      <c r="D465" s="101" t="s">
        <v>117</v>
      </c>
      <c r="E465" s="84" t="s">
        <v>82</v>
      </c>
      <c r="F465" s="85"/>
      <c r="G465" s="86" t="s">
        <v>149</v>
      </c>
      <c r="H465" s="87" t="s">
        <v>149</v>
      </c>
      <c r="I465" s="86"/>
      <c r="J465" s="86"/>
      <c r="K465" s="87"/>
      <c r="L465" s="86"/>
      <c r="M465" s="86"/>
      <c r="N465" s="87"/>
      <c r="O465" s="86"/>
      <c r="P465" s="86"/>
      <c r="Q465" s="87"/>
    </row>
    <row r="466" spans="1:17" ht="45" customHeight="1">
      <c r="A466" s="81">
        <v>67</v>
      </c>
      <c r="B466" s="82"/>
      <c r="C466" s="101" t="s">
        <v>134</v>
      </c>
      <c r="D466" s="101" t="s">
        <v>117</v>
      </c>
      <c r="E466" s="84" t="s">
        <v>82</v>
      </c>
      <c r="F466" s="85"/>
      <c r="G466" s="85"/>
      <c r="H466" s="88"/>
      <c r="I466" s="86"/>
      <c r="J466" s="86"/>
      <c r="K466" s="87"/>
      <c r="L466" s="86"/>
      <c r="M466" s="86"/>
      <c r="N466" s="87"/>
      <c r="O466" s="86"/>
      <c r="P466" s="86"/>
      <c r="Q466" s="87"/>
    </row>
    <row r="467" spans="1:17" ht="14.45" customHeight="1">
      <c r="A467" s="81">
        <v>67</v>
      </c>
      <c r="B467" s="82"/>
      <c r="C467" s="101" t="s">
        <v>134</v>
      </c>
      <c r="D467" s="101" t="s">
        <v>117</v>
      </c>
      <c r="E467" s="84" t="s">
        <v>82</v>
      </c>
      <c r="F467" s="89">
        <v>400</v>
      </c>
      <c r="G467" s="89">
        <v>770</v>
      </c>
      <c r="H467" s="90">
        <v>111</v>
      </c>
      <c r="I467" s="86"/>
      <c r="J467" s="86"/>
      <c r="K467" s="87"/>
      <c r="L467" s="86"/>
      <c r="M467" s="86"/>
      <c r="N467" s="87"/>
      <c r="O467" s="86"/>
      <c r="P467" s="86"/>
      <c r="Q467" s="87"/>
    </row>
    <row r="468" spans="1:17" ht="45" customHeight="1">
      <c r="A468" s="81">
        <v>67</v>
      </c>
      <c r="B468" s="82"/>
      <c r="C468" s="101" t="s">
        <v>134</v>
      </c>
      <c r="D468" s="101" t="s">
        <v>117</v>
      </c>
      <c r="E468" s="84" t="s">
        <v>82</v>
      </c>
      <c r="F468" s="85"/>
      <c r="G468" s="85"/>
      <c r="H468" s="88"/>
      <c r="I468" s="86"/>
      <c r="J468" s="86"/>
      <c r="K468" s="87"/>
      <c r="L468" s="86"/>
      <c r="M468" s="86"/>
      <c r="N468" s="87"/>
      <c r="O468" s="86"/>
      <c r="P468" s="86"/>
      <c r="Q468" s="87"/>
    </row>
    <row r="469" spans="1:17" ht="14.45" customHeight="1">
      <c r="A469" s="81">
        <v>67</v>
      </c>
      <c r="B469" s="82"/>
      <c r="C469" s="101" t="s">
        <v>134</v>
      </c>
      <c r="D469" s="101" t="s">
        <v>117</v>
      </c>
      <c r="E469" s="84" t="s">
        <v>82</v>
      </c>
      <c r="F469" s="89">
        <v>799</v>
      </c>
      <c r="G469" s="85"/>
      <c r="H469" s="88"/>
      <c r="I469" s="86"/>
      <c r="J469" s="86"/>
      <c r="K469" s="87"/>
      <c r="L469" s="86"/>
      <c r="M469" s="86"/>
      <c r="N469" s="87"/>
      <c r="O469" s="86"/>
      <c r="P469" s="86"/>
      <c r="Q469" s="87"/>
    </row>
    <row r="470" spans="1:17" ht="24" customHeight="1">
      <c r="A470" s="91">
        <v>67</v>
      </c>
      <c r="B470" s="92"/>
      <c r="C470" s="102" t="s">
        <v>134</v>
      </c>
      <c r="D470" s="102" t="s">
        <v>117</v>
      </c>
      <c r="E470" s="94" t="s">
        <v>82</v>
      </c>
      <c r="F470" s="95" t="s">
        <v>56</v>
      </c>
      <c r="G470" s="96">
        <v>262000</v>
      </c>
      <c r="H470" s="97">
        <v>262000</v>
      </c>
      <c r="I470" s="98"/>
      <c r="J470" s="98"/>
      <c r="K470" s="99"/>
      <c r="L470" s="98"/>
      <c r="M470" s="98"/>
      <c r="N470" s="99"/>
      <c r="O470" s="98"/>
      <c r="P470" s="98"/>
      <c r="Q470" s="99"/>
    </row>
    <row r="471" spans="1:17" ht="14.45" customHeight="1">
      <c r="A471" s="75">
        <v>68</v>
      </c>
      <c r="B471" s="76"/>
      <c r="C471" s="100" t="s">
        <v>135</v>
      </c>
      <c r="D471" s="100" t="s">
        <v>117</v>
      </c>
      <c r="E471" s="78" t="s">
        <v>82</v>
      </c>
      <c r="F471" s="79" t="s">
        <v>50</v>
      </c>
      <c r="G471" s="79" t="s">
        <v>50</v>
      </c>
      <c r="H471" s="80" t="s">
        <v>50</v>
      </c>
      <c r="I471" s="79"/>
      <c r="J471" s="79"/>
      <c r="K471" s="80"/>
      <c r="L471" s="79"/>
      <c r="M471" s="79"/>
      <c r="N471" s="80"/>
      <c r="O471" s="79"/>
      <c r="P471" s="79"/>
      <c r="Q471" s="80"/>
    </row>
    <row r="472" spans="1:17" ht="60" customHeight="1">
      <c r="A472" s="81">
        <v>68</v>
      </c>
      <c r="B472" s="82"/>
      <c r="C472" s="101" t="s">
        <v>135</v>
      </c>
      <c r="D472" s="101" t="s">
        <v>117</v>
      </c>
      <c r="E472" s="84" t="s">
        <v>82</v>
      </c>
      <c r="F472" s="85"/>
      <c r="G472" s="86" t="s">
        <v>150</v>
      </c>
      <c r="H472" s="87" t="s">
        <v>150</v>
      </c>
      <c r="I472" s="86"/>
      <c r="J472" s="86"/>
      <c r="K472" s="87"/>
      <c r="L472" s="86"/>
      <c r="M472" s="86"/>
      <c r="N472" s="87"/>
      <c r="O472" s="86"/>
      <c r="P472" s="86"/>
      <c r="Q472" s="87"/>
    </row>
    <row r="473" spans="1:17" ht="45" customHeight="1">
      <c r="A473" s="81">
        <v>68</v>
      </c>
      <c r="B473" s="82"/>
      <c r="C473" s="101" t="s">
        <v>135</v>
      </c>
      <c r="D473" s="101" t="s">
        <v>117</v>
      </c>
      <c r="E473" s="84" t="s">
        <v>82</v>
      </c>
      <c r="F473" s="85"/>
      <c r="G473" s="85"/>
      <c r="H473" s="88"/>
      <c r="I473" s="86"/>
      <c r="J473" s="86"/>
      <c r="K473" s="87"/>
      <c r="L473" s="86"/>
      <c r="M473" s="86"/>
      <c r="N473" s="87"/>
      <c r="O473" s="86"/>
      <c r="P473" s="86"/>
      <c r="Q473" s="87"/>
    </row>
    <row r="474" spans="1:17" ht="14.45" customHeight="1">
      <c r="A474" s="81">
        <v>68</v>
      </c>
      <c r="B474" s="82"/>
      <c r="C474" s="101" t="s">
        <v>135</v>
      </c>
      <c r="D474" s="101" t="s">
        <v>117</v>
      </c>
      <c r="E474" s="84" t="s">
        <v>82</v>
      </c>
      <c r="F474" s="89">
        <v>400</v>
      </c>
      <c r="G474" s="89">
        <v>770</v>
      </c>
      <c r="H474" s="90">
        <v>111</v>
      </c>
      <c r="I474" s="86"/>
      <c r="J474" s="86"/>
      <c r="K474" s="87"/>
      <c r="L474" s="86"/>
      <c r="M474" s="86"/>
      <c r="N474" s="87"/>
      <c r="O474" s="86"/>
      <c r="P474" s="86"/>
      <c r="Q474" s="87"/>
    </row>
    <row r="475" spans="1:17" ht="45" customHeight="1">
      <c r="A475" s="81">
        <v>68</v>
      </c>
      <c r="B475" s="82"/>
      <c r="C475" s="101" t="s">
        <v>135</v>
      </c>
      <c r="D475" s="101" t="s">
        <v>117</v>
      </c>
      <c r="E475" s="84" t="s">
        <v>82</v>
      </c>
      <c r="F475" s="85"/>
      <c r="G475" s="85"/>
      <c r="H475" s="88"/>
      <c r="I475" s="86"/>
      <c r="J475" s="86"/>
      <c r="K475" s="87"/>
      <c r="L475" s="86"/>
      <c r="M475" s="86"/>
      <c r="N475" s="87"/>
      <c r="O475" s="86"/>
      <c r="P475" s="86"/>
      <c r="Q475" s="87"/>
    </row>
    <row r="476" spans="1:17" ht="14.45" customHeight="1">
      <c r="A476" s="81">
        <v>68</v>
      </c>
      <c r="B476" s="82"/>
      <c r="C476" s="101" t="s">
        <v>135</v>
      </c>
      <c r="D476" s="101" t="s">
        <v>117</v>
      </c>
      <c r="E476" s="84" t="s">
        <v>82</v>
      </c>
      <c r="F476" s="89">
        <v>799</v>
      </c>
      <c r="G476" s="85"/>
      <c r="H476" s="88"/>
      <c r="I476" s="86"/>
      <c r="J476" s="86"/>
      <c r="K476" s="87"/>
      <c r="L476" s="86"/>
      <c r="M476" s="86"/>
      <c r="N476" s="87"/>
      <c r="O476" s="86"/>
      <c r="P476" s="86"/>
      <c r="Q476" s="87"/>
    </row>
    <row r="477" spans="1:17" ht="24" customHeight="1">
      <c r="A477" s="91">
        <v>68</v>
      </c>
      <c r="B477" s="92"/>
      <c r="C477" s="102" t="s">
        <v>135</v>
      </c>
      <c r="D477" s="102" t="s">
        <v>117</v>
      </c>
      <c r="E477" s="94" t="s">
        <v>82</v>
      </c>
      <c r="F477" s="95" t="s">
        <v>56</v>
      </c>
      <c r="G477" s="96">
        <v>262000</v>
      </c>
      <c r="H477" s="97">
        <v>262000</v>
      </c>
      <c r="I477" s="98"/>
      <c r="J477" s="98"/>
      <c r="K477" s="99"/>
      <c r="L477" s="98"/>
      <c r="M477" s="98"/>
      <c r="N477" s="99"/>
      <c r="O477" s="98"/>
      <c r="P477" s="98"/>
      <c r="Q477" s="99"/>
    </row>
    <row r="478" spans="1:17" ht="14.45" customHeight="1">
      <c r="A478" s="75">
        <v>69</v>
      </c>
      <c r="B478" s="76"/>
      <c r="C478" s="100" t="s">
        <v>132</v>
      </c>
      <c r="D478" s="100" t="s">
        <v>117</v>
      </c>
      <c r="E478" s="78" t="s">
        <v>82</v>
      </c>
      <c r="F478" s="79" t="s">
        <v>50</v>
      </c>
      <c r="G478" s="79" t="s">
        <v>50</v>
      </c>
      <c r="H478" s="80" t="s">
        <v>50</v>
      </c>
      <c r="I478" s="79"/>
      <c r="J478" s="79"/>
      <c r="K478" s="80"/>
      <c r="L478" s="79"/>
      <c r="M478" s="79"/>
      <c r="N478" s="80"/>
      <c r="O478" s="79"/>
      <c r="P478" s="79"/>
      <c r="Q478" s="80"/>
    </row>
    <row r="479" spans="1:17" ht="60" customHeight="1">
      <c r="A479" s="81">
        <v>69</v>
      </c>
      <c r="B479" s="82"/>
      <c r="C479" s="101" t="s">
        <v>132</v>
      </c>
      <c r="D479" s="101" t="s">
        <v>117</v>
      </c>
      <c r="E479" s="84" t="s">
        <v>82</v>
      </c>
      <c r="F479" s="85"/>
      <c r="G479" s="86" t="s">
        <v>151</v>
      </c>
      <c r="H479" s="87" t="s">
        <v>151</v>
      </c>
      <c r="I479" s="86"/>
      <c r="J479" s="86"/>
      <c r="K479" s="87"/>
      <c r="L479" s="86"/>
      <c r="M479" s="86"/>
      <c r="N479" s="87"/>
      <c r="O479" s="86"/>
      <c r="P479" s="86"/>
      <c r="Q479" s="87"/>
    </row>
    <row r="480" spans="1:17" ht="45" customHeight="1">
      <c r="A480" s="81">
        <v>69</v>
      </c>
      <c r="B480" s="82"/>
      <c r="C480" s="101" t="s">
        <v>132</v>
      </c>
      <c r="D480" s="101" t="s">
        <v>117</v>
      </c>
      <c r="E480" s="84" t="s">
        <v>82</v>
      </c>
      <c r="F480" s="85"/>
      <c r="G480" s="85"/>
      <c r="H480" s="88"/>
      <c r="I480" s="86"/>
      <c r="J480" s="86"/>
      <c r="K480" s="87"/>
      <c r="L480" s="86"/>
      <c r="M480" s="86"/>
      <c r="N480" s="87"/>
      <c r="O480" s="86"/>
      <c r="P480" s="86"/>
      <c r="Q480" s="87"/>
    </row>
    <row r="481" spans="1:17" ht="14.45" customHeight="1">
      <c r="A481" s="81">
        <v>69</v>
      </c>
      <c r="B481" s="82"/>
      <c r="C481" s="101" t="s">
        <v>132</v>
      </c>
      <c r="D481" s="101" t="s">
        <v>117</v>
      </c>
      <c r="E481" s="84" t="s">
        <v>82</v>
      </c>
      <c r="F481" s="89">
        <v>323</v>
      </c>
      <c r="G481" s="89">
        <v>770</v>
      </c>
      <c r="H481" s="90">
        <v>138</v>
      </c>
      <c r="I481" s="86"/>
      <c r="J481" s="86"/>
      <c r="K481" s="87"/>
      <c r="L481" s="86"/>
      <c r="M481" s="86"/>
      <c r="N481" s="87"/>
      <c r="O481" s="86"/>
      <c r="P481" s="86"/>
      <c r="Q481" s="87"/>
    </row>
    <row r="482" spans="1:17" ht="45" customHeight="1">
      <c r="A482" s="81">
        <v>69</v>
      </c>
      <c r="B482" s="82"/>
      <c r="C482" s="101" t="s">
        <v>132</v>
      </c>
      <c r="D482" s="101" t="s">
        <v>117</v>
      </c>
      <c r="E482" s="84" t="s">
        <v>82</v>
      </c>
      <c r="F482" s="85"/>
      <c r="G482" s="85"/>
      <c r="H482" s="88"/>
      <c r="I482" s="86"/>
      <c r="J482" s="86"/>
      <c r="K482" s="87"/>
      <c r="L482" s="86"/>
      <c r="M482" s="86"/>
      <c r="N482" s="87"/>
      <c r="O482" s="86"/>
      <c r="P482" s="86"/>
      <c r="Q482" s="87"/>
    </row>
    <row r="483" spans="1:17" ht="14.45" customHeight="1">
      <c r="A483" s="81">
        <v>69</v>
      </c>
      <c r="B483" s="82"/>
      <c r="C483" s="101" t="s">
        <v>132</v>
      </c>
      <c r="D483" s="101" t="s">
        <v>117</v>
      </c>
      <c r="E483" s="84" t="s">
        <v>82</v>
      </c>
      <c r="F483" s="89">
        <v>799</v>
      </c>
      <c r="G483" s="85"/>
      <c r="H483" s="88"/>
      <c r="I483" s="86"/>
      <c r="J483" s="86"/>
      <c r="K483" s="87"/>
      <c r="L483" s="86"/>
      <c r="M483" s="86"/>
      <c r="N483" s="87"/>
      <c r="O483" s="86"/>
      <c r="P483" s="86"/>
      <c r="Q483" s="87"/>
    </row>
    <row r="484" spans="1:17" ht="24" customHeight="1">
      <c r="A484" s="91">
        <v>69</v>
      </c>
      <c r="B484" s="92"/>
      <c r="C484" s="102" t="s">
        <v>132</v>
      </c>
      <c r="D484" s="102" t="s">
        <v>117</v>
      </c>
      <c r="E484" s="94" t="s">
        <v>82</v>
      </c>
      <c r="F484" s="95" t="s">
        <v>56</v>
      </c>
      <c r="G484" s="96">
        <v>264000</v>
      </c>
      <c r="H484" s="97">
        <v>264000</v>
      </c>
      <c r="I484" s="98"/>
      <c r="J484" s="98"/>
      <c r="K484" s="99"/>
      <c r="L484" s="98"/>
      <c r="M484" s="98"/>
      <c r="N484" s="99"/>
      <c r="O484" s="98"/>
      <c r="P484" s="98"/>
      <c r="Q484" s="99"/>
    </row>
    <row r="485" spans="1:17" ht="14.45" customHeight="1">
      <c r="A485" s="75">
        <v>70</v>
      </c>
      <c r="B485" s="76"/>
      <c r="C485" s="100" t="s">
        <v>130</v>
      </c>
      <c r="D485" s="100" t="s">
        <v>117</v>
      </c>
      <c r="E485" s="78" t="s">
        <v>79</v>
      </c>
      <c r="F485" s="79" t="s">
        <v>50</v>
      </c>
      <c r="G485" s="79" t="s">
        <v>50</v>
      </c>
      <c r="H485" s="80" t="s">
        <v>50</v>
      </c>
      <c r="I485" s="79"/>
      <c r="J485" s="79"/>
      <c r="K485" s="80"/>
      <c r="L485" s="79"/>
      <c r="M485" s="79"/>
      <c r="N485" s="80"/>
      <c r="O485" s="79"/>
      <c r="P485" s="79"/>
      <c r="Q485" s="80"/>
    </row>
    <row r="486" spans="1:17" ht="60" customHeight="1">
      <c r="A486" s="81">
        <v>70</v>
      </c>
      <c r="B486" s="82"/>
      <c r="C486" s="101" t="s">
        <v>130</v>
      </c>
      <c r="D486" s="101" t="s">
        <v>117</v>
      </c>
      <c r="E486" s="84" t="s">
        <v>79</v>
      </c>
      <c r="F486" s="85"/>
      <c r="G486" s="86" t="s">
        <v>143</v>
      </c>
      <c r="H486" s="87" t="s">
        <v>143</v>
      </c>
      <c r="I486" s="86"/>
      <c r="J486" s="86"/>
      <c r="K486" s="87"/>
      <c r="L486" s="86"/>
      <c r="M486" s="86"/>
      <c r="N486" s="87"/>
      <c r="O486" s="86"/>
      <c r="P486" s="86"/>
      <c r="Q486" s="87"/>
    </row>
    <row r="487" spans="1:17" ht="45" customHeight="1">
      <c r="A487" s="81">
        <v>70</v>
      </c>
      <c r="B487" s="82"/>
      <c r="C487" s="101" t="s">
        <v>130</v>
      </c>
      <c r="D487" s="101" t="s">
        <v>117</v>
      </c>
      <c r="E487" s="84" t="s">
        <v>79</v>
      </c>
      <c r="F487" s="85"/>
      <c r="G487" s="85"/>
      <c r="H487" s="88"/>
      <c r="I487" s="86"/>
      <c r="J487" s="86"/>
      <c r="K487" s="87"/>
      <c r="L487" s="86"/>
      <c r="M487" s="86"/>
      <c r="N487" s="87"/>
      <c r="O487" s="86"/>
      <c r="P487" s="86"/>
      <c r="Q487" s="87"/>
    </row>
    <row r="488" spans="1:17" ht="14.45" customHeight="1">
      <c r="A488" s="81">
        <v>70</v>
      </c>
      <c r="B488" s="82"/>
      <c r="C488" s="101" t="s">
        <v>130</v>
      </c>
      <c r="D488" s="101" t="s">
        <v>117</v>
      </c>
      <c r="E488" s="84" t="s">
        <v>79</v>
      </c>
      <c r="F488" s="89">
        <v>321</v>
      </c>
      <c r="G488" s="89">
        <v>764</v>
      </c>
      <c r="H488" s="90">
        <v>111</v>
      </c>
      <c r="I488" s="86"/>
      <c r="J488" s="86"/>
      <c r="K488" s="87"/>
      <c r="L488" s="86"/>
      <c r="M488" s="86"/>
      <c r="N488" s="87"/>
      <c r="O488" s="86"/>
      <c r="P488" s="86"/>
      <c r="Q488" s="87"/>
    </row>
    <row r="489" spans="1:17" ht="45" customHeight="1">
      <c r="A489" s="81">
        <v>70</v>
      </c>
      <c r="B489" s="82"/>
      <c r="C489" s="101" t="s">
        <v>130</v>
      </c>
      <c r="D489" s="101" t="s">
        <v>117</v>
      </c>
      <c r="E489" s="84" t="s">
        <v>79</v>
      </c>
      <c r="F489" s="85"/>
      <c r="G489" s="85"/>
      <c r="H489" s="88"/>
      <c r="I489" s="86"/>
      <c r="J489" s="86"/>
      <c r="K489" s="87"/>
      <c r="L489" s="86"/>
      <c r="M489" s="86"/>
      <c r="N489" s="87"/>
      <c r="O489" s="86"/>
      <c r="P489" s="86"/>
      <c r="Q489" s="87"/>
    </row>
    <row r="490" spans="1:17" ht="14.45" customHeight="1">
      <c r="A490" s="81">
        <v>70</v>
      </c>
      <c r="B490" s="82"/>
      <c r="C490" s="101" t="s">
        <v>130</v>
      </c>
      <c r="D490" s="101" t="s">
        <v>117</v>
      </c>
      <c r="E490" s="84" t="s">
        <v>79</v>
      </c>
      <c r="F490" s="89">
        <v>804</v>
      </c>
      <c r="G490" s="85"/>
      <c r="H490" s="88"/>
      <c r="I490" s="86"/>
      <c r="J490" s="86"/>
      <c r="K490" s="87"/>
      <c r="L490" s="86"/>
      <c r="M490" s="86"/>
      <c r="N490" s="87"/>
      <c r="O490" s="86"/>
      <c r="P490" s="86"/>
      <c r="Q490" s="87"/>
    </row>
    <row r="491" spans="1:17" ht="24" customHeight="1">
      <c r="A491" s="91">
        <v>70</v>
      </c>
      <c r="B491" s="92"/>
      <c r="C491" s="102" t="s">
        <v>130</v>
      </c>
      <c r="D491" s="102" t="s">
        <v>117</v>
      </c>
      <c r="E491" s="94" t="s">
        <v>79</v>
      </c>
      <c r="F491" s="95" t="s">
        <v>56</v>
      </c>
      <c r="G491" s="96">
        <v>255000</v>
      </c>
      <c r="H491" s="97">
        <v>255000</v>
      </c>
      <c r="I491" s="98"/>
      <c r="J491" s="98"/>
      <c r="K491" s="99"/>
      <c r="L491" s="98"/>
      <c r="M491" s="98"/>
      <c r="N491" s="99"/>
      <c r="O491" s="98"/>
      <c r="P491" s="98"/>
      <c r="Q491" s="99"/>
    </row>
    <row r="492" spans="1:17" ht="14.45" customHeight="1">
      <c r="A492" s="75">
        <v>71</v>
      </c>
      <c r="B492" s="76"/>
      <c r="C492" s="100" t="s">
        <v>131</v>
      </c>
      <c r="D492" s="100" t="s">
        <v>117</v>
      </c>
      <c r="E492" s="78" t="s">
        <v>79</v>
      </c>
      <c r="F492" s="79" t="s">
        <v>50</v>
      </c>
      <c r="G492" s="79" t="s">
        <v>50</v>
      </c>
      <c r="H492" s="80" t="s">
        <v>50</v>
      </c>
      <c r="I492" s="79"/>
      <c r="J492" s="79"/>
      <c r="K492" s="80"/>
      <c r="L492" s="79"/>
      <c r="M492" s="79"/>
      <c r="N492" s="80"/>
      <c r="O492" s="79"/>
      <c r="P492" s="79"/>
      <c r="Q492" s="80"/>
    </row>
    <row r="493" spans="1:17" ht="60" customHeight="1">
      <c r="A493" s="81">
        <v>71</v>
      </c>
      <c r="B493" s="82"/>
      <c r="C493" s="101" t="s">
        <v>131</v>
      </c>
      <c r="D493" s="101" t="s">
        <v>117</v>
      </c>
      <c r="E493" s="84" t="s">
        <v>79</v>
      </c>
      <c r="F493" s="85"/>
      <c r="G493" s="86" t="s">
        <v>143</v>
      </c>
      <c r="H493" s="87" t="s">
        <v>143</v>
      </c>
      <c r="I493" s="86"/>
      <c r="J493" s="86"/>
      <c r="K493" s="87"/>
      <c r="L493" s="86"/>
      <c r="M493" s="86"/>
      <c r="N493" s="87"/>
      <c r="O493" s="86"/>
      <c r="P493" s="86"/>
      <c r="Q493" s="87"/>
    </row>
    <row r="494" spans="1:17" ht="45" customHeight="1">
      <c r="A494" s="81">
        <v>71</v>
      </c>
      <c r="B494" s="82"/>
      <c r="C494" s="101" t="s">
        <v>131</v>
      </c>
      <c r="D494" s="101" t="s">
        <v>117</v>
      </c>
      <c r="E494" s="84" t="s">
        <v>79</v>
      </c>
      <c r="F494" s="85"/>
      <c r="G494" s="85"/>
      <c r="H494" s="88"/>
      <c r="I494" s="86"/>
      <c r="J494" s="86"/>
      <c r="K494" s="87"/>
      <c r="L494" s="86"/>
      <c r="M494" s="86"/>
      <c r="N494" s="87"/>
      <c r="O494" s="86"/>
      <c r="P494" s="86"/>
      <c r="Q494" s="87"/>
    </row>
    <row r="495" spans="1:17" ht="14.45" customHeight="1">
      <c r="A495" s="81">
        <v>71</v>
      </c>
      <c r="B495" s="82"/>
      <c r="C495" s="101" t="s">
        <v>131</v>
      </c>
      <c r="D495" s="101" t="s">
        <v>117</v>
      </c>
      <c r="E495" s="84" t="s">
        <v>79</v>
      </c>
      <c r="F495" s="89">
        <v>321</v>
      </c>
      <c r="G495" s="89">
        <v>764</v>
      </c>
      <c r="H495" s="90">
        <v>111</v>
      </c>
      <c r="I495" s="86"/>
      <c r="J495" s="86"/>
      <c r="K495" s="87"/>
      <c r="L495" s="86"/>
      <c r="M495" s="86"/>
      <c r="N495" s="87"/>
      <c r="O495" s="86"/>
      <c r="P495" s="86"/>
      <c r="Q495" s="87"/>
    </row>
    <row r="496" spans="1:17" ht="45" customHeight="1">
      <c r="A496" s="81">
        <v>71</v>
      </c>
      <c r="B496" s="82"/>
      <c r="C496" s="101" t="s">
        <v>131</v>
      </c>
      <c r="D496" s="101" t="s">
        <v>117</v>
      </c>
      <c r="E496" s="84" t="s">
        <v>79</v>
      </c>
      <c r="F496" s="85"/>
      <c r="G496" s="85"/>
      <c r="H496" s="88"/>
      <c r="I496" s="86"/>
      <c r="J496" s="86"/>
      <c r="K496" s="87"/>
      <c r="L496" s="86"/>
      <c r="M496" s="86"/>
      <c r="N496" s="87"/>
      <c r="O496" s="86"/>
      <c r="P496" s="86"/>
      <c r="Q496" s="87"/>
    </row>
    <row r="497" spans="1:17" ht="14.45" customHeight="1">
      <c r="A497" s="81">
        <v>71</v>
      </c>
      <c r="B497" s="82"/>
      <c r="C497" s="101" t="s">
        <v>131</v>
      </c>
      <c r="D497" s="101" t="s">
        <v>117</v>
      </c>
      <c r="E497" s="84" t="s">
        <v>79</v>
      </c>
      <c r="F497" s="89">
        <v>804</v>
      </c>
      <c r="G497" s="85"/>
      <c r="H497" s="88"/>
      <c r="I497" s="86"/>
      <c r="J497" s="86"/>
      <c r="K497" s="87"/>
      <c r="L497" s="86"/>
      <c r="M497" s="86"/>
      <c r="N497" s="87"/>
      <c r="O497" s="86"/>
      <c r="P497" s="86"/>
      <c r="Q497" s="87"/>
    </row>
    <row r="498" spans="1:17" ht="24" customHeight="1">
      <c r="A498" s="91">
        <v>71</v>
      </c>
      <c r="B498" s="92"/>
      <c r="C498" s="102" t="s">
        <v>131</v>
      </c>
      <c r="D498" s="102" t="s">
        <v>117</v>
      </c>
      <c r="E498" s="94" t="s">
        <v>79</v>
      </c>
      <c r="F498" s="95" t="s">
        <v>56</v>
      </c>
      <c r="G498" s="96">
        <v>255000</v>
      </c>
      <c r="H498" s="97">
        <v>255000</v>
      </c>
      <c r="I498" s="98"/>
      <c r="J498" s="98"/>
      <c r="K498" s="99"/>
      <c r="L498" s="98"/>
      <c r="M498" s="98"/>
      <c r="N498" s="99"/>
      <c r="O498" s="98"/>
      <c r="P498" s="98"/>
      <c r="Q498" s="99"/>
    </row>
    <row r="499" spans="1:17" ht="14.45" customHeight="1">
      <c r="A499" s="75">
        <v>72</v>
      </c>
      <c r="B499" s="76"/>
      <c r="C499" s="100" t="s">
        <v>138</v>
      </c>
      <c r="D499" s="100" t="s">
        <v>117</v>
      </c>
      <c r="E499" s="78" t="s">
        <v>98</v>
      </c>
      <c r="F499" s="79" t="s">
        <v>50</v>
      </c>
      <c r="G499" s="79" t="s">
        <v>50</v>
      </c>
      <c r="H499" s="80" t="s">
        <v>50</v>
      </c>
      <c r="I499" s="79"/>
      <c r="J499" s="79"/>
      <c r="K499" s="80"/>
      <c r="L499" s="79"/>
      <c r="M499" s="79"/>
      <c r="N499" s="80"/>
      <c r="O499" s="79"/>
      <c r="P499" s="79"/>
      <c r="Q499" s="80"/>
    </row>
    <row r="500" spans="1:17" ht="60" customHeight="1">
      <c r="A500" s="81">
        <v>72</v>
      </c>
      <c r="B500" s="82"/>
      <c r="C500" s="101" t="s">
        <v>138</v>
      </c>
      <c r="D500" s="101" t="s">
        <v>117</v>
      </c>
      <c r="E500" s="84" t="s">
        <v>98</v>
      </c>
      <c r="F500" s="85"/>
      <c r="G500" s="86" t="s">
        <v>152</v>
      </c>
      <c r="H500" s="87" t="s">
        <v>152</v>
      </c>
      <c r="I500" s="86"/>
      <c r="J500" s="86"/>
      <c r="K500" s="87"/>
      <c r="L500" s="86"/>
      <c r="M500" s="86"/>
      <c r="N500" s="87"/>
      <c r="O500" s="86"/>
      <c r="P500" s="86"/>
      <c r="Q500" s="87"/>
    </row>
    <row r="501" spans="1:17" ht="45" customHeight="1">
      <c r="A501" s="81">
        <v>72</v>
      </c>
      <c r="B501" s="82"/>
      <c r="C501" s="101" t="s">
        <v>138</v>
      </c>
      <c r="D501" s="101" t="s">
        <v>117</v>
      </c>
      <c r="E501" s="84" t="s">
        <v>98</v>
      </c>
      <c r="F501" s="85"/>
      <c r="G501" s="85"/>
      <c r="H501" s="88"/>
      <c r="I501" s="86"/>
      <c r="J501" s="86"/>
      <c r="K501" s="87"/>
      <c r="L501" s="86"/>
      <c r="M501" s="86"/>
      <c r="N501" s="87"/>
      <c r="O501" s="86"/>
      <c r="P501" s="86"/>
      <c r="Q501" s="87"/>
    </row>
    <row r="502" spans="1:17" ht="14.45" customHeight="1">
      <c r="A502" s="81">
        <v>72</v>
      </c>
      <c r="B502" s="82"/>
      <c r="C502" s="101" t="s">
        <v>138</v>
      </c>
      <c r="D502" s="101" t="s">
        <v>117</v>
      </c>
      <c r="E502" s="84" t="s">
        <v>98</v>
      </c>
      <c r="F502" s="89">
        <v>1133</v>
      </c>
      <c r="G502" s="89">
        <v>475</v>
      </c>
      <c r="H502" s="90">
        <v>103</v>
      </c>
      <c r="I502" s="86"/>
      <c r="J502" s="86"/>
      <c r="K502" s="87"/>
      <c r="L502" s="86"/>
      <c r="M502" s="86"/>
      <c r="N502" s="87"/>
      <c r="O502" s="86"/>
      <c r="P502" s="86"/>
      <c r="Q502" s="87"/>
    </row>
    <row r="503" spans="1:17" ht="45" customHeight="1">
      <c r="A503" s="81">
        <v>72</v>
      </c>
      <c r="B503" s="82"/>
      <c r="C503" s="101" t="s">
        <v>138</v>
      </c>
      <c r="D503" s="101" t="s">
        <v>117</v>
      </c>
      <c r="E503" s="84" t="s">
        <v>98</v>
      </c>
      <c r="F503" s="85"/>
      <c r="G503" s="85"/>
      <c r="H503" s="88"/>
      <c r="I503" s="86"/>
      <c r="J503" s="86"/>
      <c r="K503" s="87"/>
      <c r="L503" s="86"/>
      <c r="M503" s="86"/>
      <c r="N503" s="87"/>
      <c r="O503" s="86"/>
      <c r="P503" s="86"/>
      <c r="Q503" s="87"/>
    </row>
    <row r="504" spans="1:17" ht="14.45" customHeight="1">
      <c r="A504" s="81">
        <v>72</v>
      </c>
      <c r="B504" s="82"/>
      <c r="C504" s="101" t="s">
        <v>138</v>
      </c>
      <c r="D504" s="101" t="s">
        <v>117</v>
      </c>
      <c r="E504" s="84" t="s">
        <v>98</v>
      </c>
      <c r="F504" s="85"/>
      <c r="G504" s="85"/>
      <c r="H504" s="88"/>
      <c r="I504" s="86"/>
      <c r="J504" s="86"/>
      <c r="K504" s="87"/>
      <c r="L504" s="86"/>
      <c r="M504" s="86"/>
      <c r="N504" s="87"/>
      <c r="O504" s="86"/>
      <c r="P504" s="86"/>
      <c r="Q504" s="87"/>
    </row>
    <row r="505" spans="1:17" ht="24" customHeight="1">
      <c r="A505" s="91">
        <v>72</v>
      </c>
      <c r="B505" s="92"/>
      <c r="C505" s="102" t="s">
        <v>138</v>
      </c>
      <c r="D505" s="102" t="s">
        <v>117</v>
      </c>
      <c r="E505" s="94" t="s">
        <v>98</v>
      </c>
      <c r="F505" s="95" t="s">
        <v>56</v>
      </c>
      <c r="G505" s="96">
        <v>216000</v>
      </c>
      <c r="H505" s="97">
        <v>216000</v>
      </c>
      <c r="I505" s="98"/>
      <c r="J505" s="98"/>
      <c r="K505" s="99"/>
      <c r="L505" s="98"/>
      <c r="M505" s="98"/>
      <c r="N505" s="99"/>
      <c r="O505" s="98"/>
      <c r="P505" s="98"/>
      <c r="Q505" s="99"/>
    </row>
    <row r="506" spans="1:17" ht="14.45" customHeight="1">
      <c r="A506" s="75">
        <v>73</v>
      </c>
      <c r="B506" s="76"/>
      <c r="C506" s="100" t="s">
        <v>129</v>
      </c>
      <c r="D506" s="100" t="s">
        <v>117</v>
      </c>
      <c r="E506" s="78" t="s">
        <v>69</v>
      </c>
      <c r="F506" s="79" t="s">
        <v>50</v>
      </c>
      <c r="G506" s="79" t="s">
        <v>50</v>
      </c>
      <c r="H506" s="80" t="s">
        <v>50</v>
      </c>
      <c r="I506" s="79"/>
      <c r="J506" s="79"/>
      <c r="K506" s="80"/>
      <c r="L506" s="79"/>
      <c r="M506" s="79"/>
      <c r="N506" s="80"/>
      <c r="O506" s="79"/>
      <c r="P506" s="79"/>
      <c r="Q506" s="80"/>
    </row>
    <row r="507" spans="1:17" ht="60" customHeight="1">
      <c r="A507" s="81">
        <v>73</v>
      </c>
      <c r="B507" s="82"/>
      <c r="C507" s="101" t="s">
        <v>129</v>
      </c>
      <c r="D507" s="101" t="s">
        <v>117</v>
      </c>
      <c r="E507" s="84" t="s">
        <v>69</v>
      </c>
      <c r="F507" s="85"/>
      <c r="G507" s="86" t="s">
        <v>153</v>
      </c>
      <c r="H507" s="87" t="s">
        <v>153</v>
      </c>
      <c r="I507" s="86"/>
      <c r="J507" s="86"/>
      <c r="K507" s="87"/>
      <c r="L507" s="86"/>
      <c r="M507" s="86"/>
      <c r="N507" s="87"/>
      <c r="O507" s="86"/>
      <c r="P507" s="86"/>
      <c r="Q507" s="87"/>
    </row>
    <row r="508" spans="1:17" ht="45" customHeight="1">
      <c r="A508" s="81">
        <v>73</v>
      </c>
      <c r="B508" s="82"/>
      <c r="C508" s="101" t="s">
        <v>129</v>
      </c>
      <c r="D508" s="101" t="s">
        <v>117</v>
      </c>
      <c r="E508" s="84" t="s">
        <v>69</v>
      </c>
      <c r="F508" s="85"/>
      <c r="G508" s="85"/>
      <c r="H508" s="88"/>
      <c r="I508" s="86"/>
      <c r="J508" s="86"/>
      <c r="K508" s="87"/>
      <c r="L508" s="86"/>
      <c r="M508" s="86"/>
      <c r="N508" s="87"/>
      <c r="O508" s="86"/>
      <c r="P508" s="86"/>
      <c r="Q508" s="87"/>
    </row>
    <row r="509" spans="1:17" ht="14.45" customHeight="1">
      <c r="A509" s="81">
        <v>73</v>
      </c>
      <c r="B509" s="82"/>
      <c r="C509" s="101" t="s">
        <v>129</v>
      </c>
      <c r="D509" s="101" t="s">
        <v>117</v>
      </c>
      <c r="E509" s="84" t="s">
        <v>69</v>
      </c>
      <c r="F509" s="89">
        <v>419</v>
      </c>
      <c r="G509" s="89">
        <v>144</v>
      </c>
      <c r="H509" s="90">
        <v>983</v>
      </c>
      <c r="I509" s="86"/>
      <c r="J509" s="86"/>
      <c r="K509" s="87"/>
      <c r="L509" s="86"/>
      <c r="M509" s="86"/>
      <c r="N509" s="87"/>
      <c r="O509" s="86"/>
      <c r="P509" s="86"/>
      <c r="Q509" s="87"/>
    </row>
    <row r="510" spans="1:17" ht="45" customHeight="1">
      <c r="A510" s="81">
        <v>73</v>
      </c>
      <c r="B510" s="82"/>
      <c r="C510" s="101" t="s">
        <v>129</v>
      </c>
      <c r="D510" s="101" t="s">
        <v>117</v>
      </c>
      <c r="E510" s="84" t="s">
        <v>69</v>
      </c>
      <c r="F510" s="85"/>
      <c r="G510" s="85"/>
      <c r="H510" s="88"/>
      <c r="I510" s="86"/>
      <c r="J510" s="86"/>
      <c r="K510" s="87"/>
      <c r="L510" s="86"/>
      <c r="M510" s="86"/>
      <c r="N510" s="87"/>
      <c r="O510" s="86"/>
      <c r="P510" s="86"/>
      <c r="Q510" s="87"/>
    </row>
    <row r="511" spans="1:17" ht="14.45" customHeight="1">
      <c r="A511" s="81">
        <v>73</v>
      </c>
      <c r="B511" s="82"/>
      <c r="C511" s="101" t="s">
        <v>129</v>
      </c>
      <c r="D511" s="101" t="s">
        <v>117</v>
      </c>
      <c r="E511" s="84" t="s">
        <v>69</v>
      </c>
      <c r="F511" s="85"/>
      <c r="G511" s="85"/>
      <c r="H511" s="88"/>
      <c r="I511" s="86"/>
      <c r="J511" s="86"/>
      <c r="K511" s="87"/>
      <c r="L511" s="86"/>
      <c r="M511" s="86"/>
      <c r="N511" s="87"/>
      <c r="O511" s="86"/>
      <c r="P511" s="86"/>
      <c r="Q511" s="87"/>
    </row>
    <row r="512" spans="1:17" ht="24" customHeight="1">
      <c r="A512" s="91">
        <v>73</v>
      </c>
      <c r="B512" s="92"/>
      <c r="C512" s="102" t="s">
        <v>129</v>
      </c>
      <c r="D512" s="102" t="s">
        <v>117</v>
      </c>
      <c r="E512" s="94" t="s">
        <v>69</v>
      </c>
      <c r="F512" s="95" t="s">
        <v>56</v>
      </c>
      <c r="G512" s="96">
        <v>202313</v>
      </c>
      <c r="H512" s="97">
        <v>202313</v>
      </c>
      <c r="I512" s="98"/>
      <c r="J512" s="98"/>
      <c r="K512" s="99"/>
      <c r="L512" s="98"/>
      <c r="M512" s="98"/>
      <c r="N512" s="99"/>
      <c r="O512" s="98"/>
      <c r="P512" s="98"/>
      <c r="Q512" s="99"/>
    </row>
    <row r="513" spans="1:17" ht="14.45" customHeight="1">
      <c r="A513" s="75">
        <v>74</v>
      </c>
      <c r="B513" s="76"/>
      <c r="C513" s="100" t="s">
        <v>127</v>
      </c>
      <c r="D513" s="100" t="s">
        <v>117</v>
      </c>
      <c r="E513" s="78" t="s">
        <v>69</v>
      </c>
      <c r="F513" s="79" t="s">
        <v>50</v>
      </c>
      <c r="G513" s="79" t="s">
        <v>50</v>
      </c>
      <c r="H513" s="80" t="s">
        <v>50</v>
      </c>
      <c r="I513" s="79"/>
      <c r="J513" s="79"/>
      <c r="K513" s="80"/>
      <c r="L513" s="79"/>
      <c r="M513" s="79"/>
      <c r="N513" s="80"/>
      <c r="O513" s="79"/>
      <c r="P513" s="79"/>
      <c r="Q513" s="80"/>
    </row>
    <row r="514" spans="1:17" ht="60" customHeight="1">
      <c r="A514" s="81">
        <v>74</v>
      </c>
      <c r="B514" s="82"/>
      <c r="C514" s="101" t="s">
        <v>127</v>
      </c>
      <c r="D514" s="101" t="s">
        <v>117</v>
      </c>
      <c r="E514" s="84" t="s">
        <v>69</v>
      </c>
      <c r="F514" s="85"/>
      <c r="G514" s="86" t="s">
        <v>154</v>
      </c>
      <c r="H514" s="87" t="s">
        <v>154</v>
      </c>
      <c r="I514" s="86"/>
      <c r="J514" s="86"/>
      <c r="K514" s="87"/>
      <c r="L514" s="86"/>
      <c r="M514" s="86"/>
      <c r="N514" s="87"/>
      <c r="O514" s="86"/>
      <c r="P514" s="86"/>
      <c r="Q514" s="87"/>
    </row>
    <row r="515" spans="1:17" ht="45" customHeight="1">
      <c r="A515" s="81">
        <v>74</v>
      </c>
      <c r="B515" s="82"/>
      <c r="C515" s="101" t="s">
        <v>127</v>
      </c>
      <c r="D515" s="101" t="s">
        <v>117</v>
      </c>
      <c r="E515" s="84" t="s">
        <v>69</v>
      </c>
      <c r="F515" s="85"/>
      <c r="G515" s="85"/>
      <c r="H515" s="88"/>
      <c r="I515" s="86"/>
      <c r="J515" s="86"/>
      <c r="K515" s="87"/>
      <c r="L515" s="86"/>
      <c r="M515" s="86"/>
      <c r="N515" s="87"/>
      <c r="O515" s="86"/>
      <c r="P515" s="86"/>
      <c r="Q515" s="87"/>
    </row>
    <row r="516" spans="1:17" ht="14.45" customHeight="1">
      <c r="A516" s="81">
        <v>74</v>
      </c>
      <c r="B516" s="82"/>
      <c r="C516" s="101" t="s">
        <v>127</v>
      </c>
      <c r="D516" s="101" t="s">
        <v>117</v>
      </c>
      <c r="E516" s="84" t="s">
        <v>69</v>
      </c>
      <c r="F516" s="89">
        <v>419</v>
      </c>
      <c r="G516" s="89">
        <v>144</v>
      </c>
      <c r="H516" s="90">
        <v>983</v>
      </c>
      <c r="I516" s="86"/>
      <c r="J516" s="86"/>
      <c r="K516" s="87"/>
      <c r="L516" s="86"/>
      <c r="M516" s="86"/>
      <c r="N516" s="87"/>
      <c r="O516" s="86"/>
      <c r="P516" s="86"/>
      <c r="Q516" s="87"/>
    </row>
    <row r="517" spans="1:17" ht="45" customHeight="1">
      <c r="A517" s="81">
        <v>74</v>
      </c>
      <c r="B517" s="82"/>
      <c r="C517" s="101" t="s">
        <v>127</v>
      </c>
      <c r="D517" s="101" t="s">
        <v>117</v>
      </c>
      <c r="E517" s="84" t="s">
        <v>69</v>
      </c>
      <c r="F517" s="85"/>
      <c r="G517" s="85"/>
      <c r="H517" s="88"/>
      <c r="I517" s="86"/>
      <c r="J517" s="86"/>
      <c r="K517" s="87"/>
      <c r="L517" s="86"/>
      <c r="M517" s="86"/>
      <c r="N517" s="87"/>
      <c r="O517" s="86"/>
      <c r="P517" s="86"/>
      <c r="Q517" s="87"/>
    </row>
    <row r="518" spans="1:17" ht="14.45" customHeight="1">
      <c r="A518" s="81">
        <v>74</v>
      </c>
      <c r="B518" s="82"/>
      <c r="C518" s="101" t="s">
        <v>127</v>
      </c>
      <c r="D518" s="101" t="s">
        <v>117</v>
      </c>
      <c r="E518" s="84" t="s">
        <v>69</v>
      </c>
      <c r="F518" s="85"/>
      <c r="G518" s="85"/>
      <c r="H518" s="88"/>
      <c r="I518" s="86"/>
      <c r="J518" s="86"/>
      <c r="K518" s="87"/>
      <c r="L518" s="86"/>
      <c r="M518" s="86"/>
      <c r="N518" s="87"/>
      <c r="O518" s="86"/>
      <c r="P518" s="86"/>
      <c r="Q518" s="87"/>
    </row>
    <row r="519" spans="1:17" ht="24" customHeight="1">
      <c r="A519" s="91">
        <v>74</v>
      </c>
      <c r="B519" s="92"/>
      <c r="C519" s="102" t="s">
        <v>127</v>
      </c>
      <c r="D519" s="102" t="s">
        <v>117</v>
      </c>
      <c r="E519" s="94" t="s">
        <v>69</v>
      </c>
      <c r="F519" s="95" t="s">
        <v>56</v>
      </c>
      <c r="G519" s="96">
        <v>202000</v>
      </c>
      <c r="H519" s="97">
        <v>202000</v>
      </c>
      <c r="I519" s="98"/>
      <c r="J519" s="98"/>
      <c r="K519" s="99"/>
      <c r="L519" s="98"/>
      <c r="M519" s="98"/>
      <c r="N519" s="99"/>
      <c r="O519" s="98"/>
      <c r="P519" s="98"/>
      <c r="Q519" s="99"/>
    </row>
    <row r="520" spans="1:17" ht="14.45" customHeight="1">
      <c r="A520" s="75">
        <v>75</v>
      </c>
      <c r="B520" s="76"/>
      <c r="C520" s="100" t="s">
        <v>128</v>
      </c>
      <c r="D520" s="100" t="s">
        <v>117</v>
      </c>
      <c r="E520" s="78" t="s">
        <v>69</v>
      </c>
      <c r="F520" s="79" t="s">
        <v>50</v>
      </c>
      <c r="G520" s="79" t="s">
        <v>50</v>
      </c>
      <c r="H520" s="80" t="s">
        <v>50</v>
      </c>
      <c r="I520" s="79"/>
      <c r="J520" s="79"/>
      <c r="K520" s="80"/>
      <c r="L520" s="79"/>
      <c r="M520" s="79"/>
      <c r="N520" s="80"/>
      <c r="O520" s="79"/>
      <c r="P520" s="79"/>
      <c r="Q520" s="80"/>
    </row>
    <row r="521" spans="1:17" ht="60" customHeight="1">
      <c r="A521" s="81">
        <v>75</v>
      </c>
      <c r="B521" s="82"/>
      <c r="C521" s="101" t="s">
        <v>128</v>
      </c>
      <c r="D521" s="101" t="s">
        <v>117</v>
      </c>
      <c r="E521" s="84" t="s">
        <v>69</v>
      </c>
      <c r="F521" s="85"/>
      <c r="G521" s="86" t="s">
        <v>155</v>
      </c>
      <c r="H521" s="87" t="s">
        <v>155</v>
      </c>
      <c r="I521" s="86"/>
      <c r="J521" s="86"/>
      <c r="K521" s="87"/>
      <c r="L521" s="86"/>
      <c r="M521" s="86"/>
      <c r="N521" s="87"/>
      <c r="O521" s="86"/>
      <c r="P521" s="86"/>
      <c r="Q521" s="87"/>
    </row>
    <row r="522" spans="1:17" ht="45" customHeight="1">
      <c r="A522" s="81">
        <v>75</v>
      </c>
      <c r="B522" s="82"/>
      <c r="C522" s="101" t="s">
        <v>128</v>
      </c>
      <c r="D522" s="101" t="s">
        <v>117</v>
      </c>
      <c r="E522" s="84" t="s">
        <v>69</v>
      </c>
      <c r="F522" s="85"/>
      <c r="G522" s="85"/>
      <c r="H522" s="88"/>
      <c r="I522" s="86"/>
      <c r="J522" s="86"/>
      <c r="K522" s="87"/>
      <c r="L522" s="86"/>
      <c r="M522" s="86"/>
      <c r="N522" s="87"/>
      <c r="O522" s="86"/>
      <c r="P522" s="86"/>
      <c r="Q522" s="87"/>
    </row>
    <row r="523" spans="1:17" ht="14.45" customHeight="1">
      <c r="A523" s="81">
        <v>75</v>
      </c>
      <c r="B523" s="82"/>
      <c r="C523" s="101" t="s">
        <v>128</v>
      </c>
      <c r="D523" s="101" t="s">
        <v>117</v>
      </c>
      <c r="E523" s="84" t="s">
        <v>69</v>
      </c>
      <c r="F523" s="89">
        <v>419</v>
      </c>
      <c r="G523" s="89">
        <v>144</v>
      </c>
      <c r="H523" s="90">
        <v>983</v>
      </c>
      <c r="I523" s="86"/>
      <c r="J523" s="86"/>
      <c r="K523" s="87"/>
      <c r="L523" s="86"/>
      <c r="M523" s="86"/>
      <c r="N523" s="87"/>
      <c r="O523" s="86"/>
      <c r="P523" s="86"/>
      <c r="Q523" s="87"/>
    </row>
    <row r="524" spans="1:17" ht="45" customHeight="1">
      <c r="A524" s="81">
        <v>75</v>
      </c>
      <c r="B524" s="82"/>
      <c r="C524" s="101" t="s">
        <v>128</v>
      </c>
      <c r="D524" s="101" t="s">
        <v>117</v>
      </c>
      <c r="E524" s="84" t="s">
        <v>69</v>
      </c>
      <c r="F524" s="85"/>
      <c r="G524" s="85"/>
      <c r="H524" s="88"/>
      <c r="I524" s="86"/>
      <c r="J524" s="86"/>
      <c r="K524" s="87"/>
      <c r="L524" s="86"/>
      <c r="M524" s="86"/>
      <c r="N524" s="87"/>
      <c r="O524" s="86"/>
      <c r="P524" s="86"/>
      <c r="Q524" s="87"/>
    </row>
    <row r="525" spans="1:17" ht="14.45" customHeight="1">
      <c r="A525" s="81">
        <v>75</v>
      </c>
      <c r="B525" s="82"/>
      <c r="C525" s="101" t="s">
        <v>128</v>
      </c>
      <c r="D525" s="101" t="s">
        <v>117</v>
      </c>
      <c r="E525" s="84" t="s">
        <v>69</v>
      </c>
      <c r="F525" s="85"/>
      <c r="G525" s="85"/>
      <c r="H525" s="88"/>
      <c r="I525" s="86"/>
      <c r="J525" s="86"/>
      <c r="K525" s="87"/>
      <c r="L525" s="86"/>
      <c r="M525" s="86"/>
      <c r="N525" s="87"/>
      <c r="O525" s="86"/>
      <c r="P525" s="86"/>
      <c r="Q525" s="87"/>
    </row>
    <row r="526" spans="1:17" ht="24" customHeight="1">
      <c r="A526" s="91">
        <v>75</v>
      </c>
      <c r="B526" s="92"/>
      <c r="C526" s="102" t="s">
        <v>128</v>
      </c>
      <c r="D526" s="102" t="s">
        <v>117</v>
      </c>
      <c r="E526" s="94" t="s">
        <v>69</v>
      </c>
      <c r="F526" s="95" t="s">
        <v>56</v>
      </c>
      <c r="G526" s="96">
        <v>202000</v>
      </c>
      <c r="H526" s="97">
        <v>202000</v>
      </c>
      <c r="I526" s="98"/>
      <c r="J526" s="98"/>
      <c r="K526" s="99"/>
      <c r="L526" s="98"/>
      <c r="M526" s="98"/>
      <c r="N526" s="99"/>
      <c r="O526" s="98"/>
      <c r="P526" s="98"/>
      <c r="Q526" s="99"/>
    </row>
    <row r="527" spans="1:17" ht="14.45" customHeight="1">
      <c r="A527" s="75">
        <v>76</v>
      </c>
      <c r="B527" s="76"/>
      <c r="C527" s="100" t="s">
        <v>137</v>
      </c>
      <c r="D527" s="100" t="s">
        <v>117</v>
      </c>
      <c r="E527" s="78" t="s">
        <v>98</v>
      </c>
      <c r="F527" s="79" t="s">
        <v>50</v>
      </c>
      <c r="G527" s="79" t="s">
        <v>50</v>
      </c>
      <c r="H527" s="80" t="s">
        <v>50</v>
      </c>
      <c r="I527" s="79"/>
      <c r="J527" s="79"/>
      <c r="K527" s="80"/>
      <c r="L527" s="79"/>
      <c r="M527" s="79"/>
      <c r="N527" s="80"/>
      <c r="O527" s="79"/>
      <c r="P527" s="79"/>
      <c r="Q527" s="80"/>
    </row>
    <row r="528" spans="1:17" ht="60" customHeight="1">
      <c r="A528" s="81">
        <v>76</v>
      </c>
      <c r="B528" s="82"/>
      <c r="C528" s="101" t="s">
        <v>137</v>
      </c>
      <c r="D528" s="101" t="s">
        <v>117</v>
      </c>
      <c r="E528" s="84" t="s">
        <v>98</v>
      </c>
      <c r="F528" s="85"/>
      <c r="G528" s="86" t="s">
        <v>156</v>
      </c>
      <c r="H528" s="87" t="s">
        <v>156</v>
      </c>
      <c r="I528" s="86"/>
      <c r="J528" s="86"/>
      <c r="K528" s="87"/>
      <c r="L528" s="86"/>
      <c r="M528" s="86"/>
      <c r="N528" s="87"/>
      <c r="O528" s="86"/>
      <c r="P528" s="86"/>
      <c r="Q528" s="87"/>
    </row>
    <row r="529" spans="1:17" ht="45" customHeight="1">
      <c r="A529" s="81">
        <v>76</v>
      </c>
      <c r="B529" s="82"/>
      <c r="C529" s="101" t="s">
        <v>137</v>
      </c>
      <c r="D529" s="101" t="s">
        <v>117</v>
      </c>
      <c r="E529" s="84" t="s">
        <v>98</v>
      </c>
      <c r="F529" s="85"/>
      <c r="G529" s="85"/>
      <c r="H529" s="88"/>
      <c r="I529" s="86"/>
      <c r="J529" s="86"/>
      <c r="K529" s="87"/>
      <c r="L529" s="86"/>
      <c r="M529" s="86"/>
      <c r="N529" s="87"/>
      <c r="O529" s="86"/>
      <c r="P529" s="86"/>
      <c r="Q529" s="87"/>
    </row>
    <row r="530" spans="1:17" ht="14.45" customHeight="1">
      <c r="A530" s="81">
        <v>76</v>
      </c>
      <c r="B530" s="82"/>
      <c r="C530" s="101" t="s">
        <v>137</v>
      </c>
      <c r="D530" s="101" t="s">
        <v>117</v>
      </c>
      <c r="E530" s="84" t="s">
        <v>98</v>
      </c>
      <c r="F530" s="89">
        <v>1133</v>
      </c>
      <c r="G530" s="89">
        <v>300</v>
      </c>
      <c r="H530" s="90">
        <v>164</v>
      </c>
      <c r="I530" s="86"/>
      <c r="J530" s="86"/>
      <c r="K530" s="87"/>
      <c r="L530" s="86"/>
      <c r="M530" s="86"/>
      <c r="N530" s="87"/>
      <c r="O530" s="86"/>
      <c r="P530" s="86"/>
      <c r="Q530" s="87"/>
    </row>
    <row r="531" spans="1:17" ht="45" customHeight="1">
      <c r="A531" s="81">
        <v>76</v>
      </c>
      <c r="B531" s="82"/>
      <c r="C531" s="101" t="s">
        <v>137</v>
      </c>
      <c r="D531" s="101" t="s">
        <v>117</v>
      </c>
      <c r="E531" s="84" t="s">
        <v>98</v>
      </c>
      <c r="F531" s="85"/>
      <c r="G531" s="85"/>
      <c r="H531" s="88"/>
      <c r="I531" s="86"/>
      <c r="J531" s="86"/>
      <c r="K531" s="87"/>
      <c r="L531" s="86"/>
      <c r="M531" s="86"/>
      <c r="N531" s="87"/>
      <c r="O531" s="86"/>
      <c r="P531" s="86"/>
      <c r="Q531" s="87"/>
    </row>
    <row r="532" spans="1:17" ht="14.45" customHeight="1">
      <c r="A532" s="81">
        <v>76</v>
      </c>
      <c r="B532" s="82"/>
      <c r="C532" s="101" t="s">
        <v>137</v>
      </c>
      <c r="D532" s="101" t="s">
        <v>117</v>
      </c>
      <c r="E532" s="84" t="s">
        <v>98</v>
      </c>
      <c r="F532" s="85"/>
      <c r="G532" s="85"/>
      <c r="H532" s="88"/>
      <c r="I532" s="86"/>
      <c r="J532" s="86"/>
      <c r="K532" s="87"/>
      <c r="L532" s="86"/>
      <c r="M532" s="86"/>
      <c r="N532" s="87"/>
      <c r="O532" s="86"/>
      <c r="P532" s="86"/>
      <c r="Q532" s="87"/>
    </row>
    <row r="533" spans="1:17" ht="24" customHeight="1">
      <c r="A533" s="91">
        <v>76</v>
      </c>
      <c r="B533" s="92"/>
      <c r="C533" s="102" t="s">
        <v>137</v>
      </c>
      <c r="D533" s="102" t="s">
        <v>117</v>
      </c>
      <c r="E533" s="94" t="s">
        <v>98</v>
      </c>
      <c r="F533" s="95" t="s">
        <v>56</v>
      </c>
      <c r="G533" s="96">
        <v>216000</v>
      </c>
      <c r="H533" s="97">
        <v>216000</v>
      </c>
      <c r="I533" s="98"/>
      <c r="J533" s="98"/>
      <c r="K533" s="99"/>
      <c r="L533" s="98"/>
      <c r="M533" s="98"/>
      <c r="N533" s="99"/>
      <c r="O533" s="98"/>
      <c r="P533" s="98"/>
      <c r="Q533" s="99"/>
    </row>
    <row r="534" spans="1:17" ht="14.45" customHeight="1">
      <c r="A534" s="75">
        <v>77</v>
      </c>
      <c r="B534" s="76"/>
      <c r="C534" s="100" t="s">
        <v>136</v>
      </c>
      <c r="D534" s="100" t="s">
        <v>117</v>
      </c>
      <c r="E534" s="78" t="s">
        <v>98</v>
      </c>
      <c r="F534" s="79" t="s">
        <v>50</v>
      </c>
      <c r="G534" s="79" t="s">
        <v>50</v>
      </c>
      <c r="H534" s="80" t="s">
        <v>50</v>
      </c>
      <c r="I534" s="79"/>
      <c r="J534" s="79"/>
      <c r="K534" s="80"/>
      <c r="L534" s="79"/>
      <c r="M534" s="79"/>
      <c r="N534" s="80"/>
      <c r="O534" s="79"/>
      <c r="P534" s="79"/>
      <c r="Q534" s="80"/>
    </row>
    <row r="535" spans="1:17" ht="60" customHeight="1">
      <c r="A535" s="81">
        <v>77</v>
      </c>
      <c r="B535" s="82"/>
      <c r="C535" s="101" t="s">
        <v>136</v>
      </c>
      <c r="D535" s="101" t="s">
        <v>117</v>
      </c>
      <c r="E535" s="84" t="s">
        <v>98</v>
      </c>
      <c r="F535" s="85"/>
      <c r="G535" s="86" t="s">
        <v>157</v>
      </c>
      <c r="H535" s="87" t="s">
        <v>157</v>
      </c>
      <c r="I535" s="86"/>
      <c r="J535" s="86"/>
      <c r="K535" s="87"/>
      <c r="L535" s="86"/>
      <c r="M535" s="86"/>
      <c r="N535" s="87"/>
      <c r="O535" s="86"/>
      <c r="P535" s="86"/>
      <c r="Q535" s="87"/>
    </row>
    <row r="536" spans="1:17" ht="45" customHeight="1">
      <c r="A536" s="81">
        <v>77</v>
      </c>
      <c r="B536" s="82"/>
      <c r="C536" s="101" t="s">
        <v>136</v>
      </c>
      <c r="D536" s="101" t="s">
        <v>117</v>
      </c>
      <c r="E536" s="84" t="s">
        <v>98</v>
      </c>
      <c r="F536" s="85"/>
      <c r="G536" s="85"/>
      <c r="H536" s="88"/>
      <c r="I536" s="86"/>
      <c r="J536" s="86"/>
      <c r="K536" s="87"/>
      <c r="L536" s="86"/>
      <c r="M536" s="86"/>
      <c r="N536" s="87"/>
      <c r="O536" s="86"/>
      <c r="P536" s="86"/>
      <c r="Q536" s="87"/>
    </row>
    <row r="537" spans="1:17" ht="14.45" customHeight="1">
      <c r="A537" s="81">
        <v>77</v>
      </c>
      <c r="B537" s="82"/>
      <c r="C537" s="101" t="s">
        <v>136</v>
      </c>
      <c r="D537" s="101" t="s">
        <v>117</v>
      </c>
      <c r="E537" s="84" t="s">
        <v>98</v>
      </c>
      <c r="F537" s="89">
        <v>1133</v>
      </c>
      <c r="G537" s="89">
        <v>300</v>
      </c>
      <c r="H537" s="90">
        <v>164</v>
      </c>
      <c r="I537" s="86"/>
      <c r="J537" s="86"/>
      <c r="K537" s="87"/>
      <c r="L537" s="86"/>
      <c r="M537" s="86"/>
      <c r="N537" s="87"/>
      <c r="O537" s="86"/>
      <c r="P537" s="86"/>
      <c r="Q537" s="87"/>
    </row>
    <row r="538" spans="1:17" ht="45" customHeight="1">
      <c r="A538" s="81">
        <v>77</v>
      </c>
      <c r="B538" s="82"/>
      <c r="C538" s="101" t="s">
        <v>136</v>
      </c>
      <c r="D538" s="101" t="s">
        <v>117</v>
      </c>
      <c r="E538" s="84" t="s">
        <v>98</v>
      </c>
      <c r="F538" s="85"/>
      <c r="G538" s="85"/>
      <c r="H538" s="88"/>
      <c r="I538" s="86"/>
      <c r="J538" s="86"/>
      <c r="K538" s="87"/>
      <c r="L538" s="86"/>
      <c r="M538" s="86"/>
      <c r="N538" s="87"/>
      <c r="O538" s="86"/>
      <c r="P538" s="86"/>
      <c r="Q538" s="87"/>
    </row>
    <row r="539" spans="1:17" ht="14.45" customHeight="1">
      <c r="A539" s="81">
        <v>77</v>
      </c>
      <c r="B539" s="82"/>
      <c r="C539" s="101" t="s">
        <v>136</v>
      </c>
      <c r="D539" s="101" t="s">
        <v>117</v>
      </c>
      <c r="E539" s="84" t="s">
        <v>98</v>
      </c>
      <c r="F539" s="85"/>
      <c r="G539" s="85"/>
      <c r="H539" s="88"/>
      <c r="I539" s="86"/>
      <c r="J539" s="86"/>
      <c r="K539" s="87"/>
      <c r="L539" s="86"/>
      <c r="M539" s="86"/>
      <c r="N539" s="87"/>
      <c r="O539" s="86"/>
      <c r="P539" s="86"/>
      <c r="Q539" s="87"/>
    </row>
    <row r="540" spans="1:17" ht="24" customHeight="1">
      <c r="A540" s="91">
        <v>77</v>
      </c>
      <c r="B540" s="92"/>
      <c r="C540" s="102" t="s">
        <v>136</v>
      </c>
      <c r="D540" s="102" t="s">
        <v>117</v>
      </c>
      <c r="E540" s="94" t="s">
        <v>98</v>
      </c>
      <c r="F540" s="95" t="s">
        <v>56</v>
      </c>
      <c r="G540" s="96">
        <v>216000</v>
      </c>
      <c r="H540" s="97">
        <v>216000</v>
      </c>
      <c r="I540" s="98"/>
      <c r="J540" s="98"/>
      <c r="K540" s="99"/>
      <c r="L540" s="98"/>
      <c r="M540" s="98"/>
      <c r="N540" s="99"/>
      <c r="O540" s="98"/>
      <c r="P540" s="98"/>
      <c r="Q540" s="99"/>
    </row>
    <row r="541" spans="1:17" ht="14.45" customHeight="1">
      <c r="A541" s="75">
        <v>78</v>
      </c>
      <c r="B541" s="76"/>
      <c r="C541" s="100" t="s">
        <v>158</v>
      </c>
      <c r="D541" s="100" t="s">
        <v>117</v>
      </c>
      <c r="E541" s="78" t="s">
        <v>109</v>
      </c>
      <c r="F541" s="79" t="s">
        <v>50</v>
      </c>
      <c r="G541" s="79" t="s">
        <v>50</v>
      </c>
      <c r="H541" s="80" t="s">
        <v>50</v>
      </c>
      <c r="I541" s="79"/>
      <c r="J541" s="79"/>
      <c r="K541" s="80"/>
      <c r="L541" s="79"/>
      <c r="M541" s="79"/>
      <c r="N541" s="80"/>
      <c r="O541" s="79"/>
      <c r="P541" s="79"/>
      <c r="Q541" s="80"/>
    </row>
    <row r="542" spans="1:17" ht="60" customHeight="1">
      <c r="A542" s="81">
        <v>78</v>
      </c>
      <c r="B542" s="82"/>
      <c r="C542" s="101" t="s">
        <v>158</v>
      </c>
      <c r="D542" s="101" t="s">
        <v>117</v>
      </c>
      <c r="E542" s="84" t="s">
        <v>109</v>
      </c>
      <c r="F542" s="85"/>
      <c r="G542" s="86"/>
      <c r="H542" s="87"/>
      <c r="I542" s="86"/>
      <c r="J542" s="86"/>
      <c r="K542" s="87"/>
      <c r="L542" s="86"/>
      <c r="M542" s="86"/>
      <c r="N542" s="87"/>
      <c r="O542" s="86"/>
      <c r="P542" s="86"/>
      <c r="Q542" s="87"/>
    </row>
    <row r="543" spans="1:17" ht="45" customHeight="1">
      <c r="A543" s="81">
        <v>78</v>
      </c>
      <c r="B543" s="82"/>
      <c r="C543" s="101" t="s">
        <v>158</v>
      </c>
      <c r="D543" s="101" t="s">
        <v>117</v>
      </c>
      <c r="E543" s="84" t="s">
        <v>109</v>
      </c>
      <c r="F543" s="85"/>
      <c r="G543" s="85"/>
      <c r="H543" s="88"/>
      <c r="I543" s="86"/>
      <c r="J543" s="86"/>
      <c r="K543" s="87"/>
      <c r="L543" s="86"/>
      <c r="M543" s="86"/>
      <c r="N543" s="87"/>
      <c r="O543" s="86"/>
      <c r="P543" s="86"/>
      <c r="Q543" s="87"/>
    </row>
    <row r="544" spans="1:17" ht="14.45" customHeight="1">
      <c r="A544" s="81">
        <v>78</v>
      </c>
      <c r="B544" s="82"/>
      <c r="C544" s="101" t="s">
        <v>158</v>
      </c>
      <c r="D544" s="101" t="s">
        <v>117</v>
      </c>
      <c r="E544" s="84" t="s">
        <v>109</v>
      </c>
      <c r="F544" s="89">
        <v>168</v>
      </c>
      <c r="G544" s="89">
        <v>590</v>
      </c>
      <c r="H544" s="90">
        <v>135</v>
      </c>
      <c r="I544" s="86"/>
      <c r="J544" s="86"/>
      <c r="K544" s="87"/>
      <c r="L544" s="86"/>
      <c r="M544" s="86"/>
      <c r="N544" s="87"/>
      <c r="O544" s="86"/>
      <c r="P544" s="86"/>
      <c r="Q544" s="87"/>
    </row>
    <row r="545" spans="1:17" ht="45" customHeight="1">
      <c r="A545" s="81">
        <v>78</v>
      </c>
      <c r="B545" s="82"/>
      <c r="C545" s="101" t="s">
        <v>158</v>
      </c>
      <c r="D545" s="101" t="s">
        <v>117</v>
      </c>
      <c r="E545" s="84" t="s">
        <v>109</v>
      </c>
      <c r="F545" s="85"/>
      <c r="G545" s="85"/>
      <c r="H545" s="88"/>
      <c r="I545" s="86"/>
      <c r="J545" s="86"/>
      <c r="K545" s="87"/>
      <c r="L545" s="86"/>
      <c r="M545" s="86"/>
      <c r="N545" s="87"/>
      <c r="O545" s="86"/>
      <c r="P545" s="86"/>
      <c r="Q545" s="87"/>
    </row>
    <row r="546" spans="1:17" ht="14.45" customHeight="1">
      <c r="A546" s="81">
        <v>78</v>
      </c>
      <c r="B546" s="82"/>
      <c r="C546" s="101" t="s">
        <v>158</v>
      </c>
      <c r="D546" s="101" t="s">
        <v>117</v>
      </c>
      <c r="E546" s="84" t="s">
        <v>109</v>
      </c>
      <c r="F546" s="89">
        <v>380</v>
      </c>
      <c r="G546" s="85"/>
      <c r="H546" s="88"/>
      <c r="I546" s="86"/>
      <c r="J546" s="86"/>
      <c r="K546" s="87"/>
      <c r="L546" s="86"/>
      <c r="M546" s="86"/>
      <c r="N546" s="87"/>
      <c r="O546" s="86"/>
      <c r="P546" s="86"/>
      <c r="Q546" s="87"/>
    </row>
    <row r="547" spans="1:17" ht="24" customHeight="1">
      <c r="A547" s="91">
        <v>78</v>
      </c>
      <c r="B547" s="92"/>
      <c r="C547" s="102" t="s">
        <v>158</v>
      </c>
      <c r="D547" s="102" t="s">
        <v>117</v>
      </c>
      <c r="E547" s="94" t="s">
        <v>109</v>
      </c>
      <c r="F547" s="95" t="s">
        <v>56</v>
      </c>
      <c r="G547" s="96">
        <v>55400</v>
      </c>
      <c r="H547" s="97">
        <v>55400</v>
      </c>
      <c r="I547" s="98"/>
      <c r="J547" s="98"/>
      <c r="K547" s="99"/>
      <c r="L547" s="98"/>
      <c r="M547" s="98"/>
      <c r="N547" s="99"/>
      <c r="O547" s="98"/>
      <c r="P547" s="98"/>
      <c r="Q547" s="99"/>
    </row>
    <row r="548" spans="1:17" ht="14.45" customHeight="1">
      <c r="A548" s="75">
        <v>79</v>
      </c>
      <c r="B548" s="76"/>
      <c r="C548" s="100" t="s">
        <v>159</v>
      </c>
      <c r="D548" s="100" t="s">
        <v>117</v>
      </c>
      <c r="E548" s="78" t="s">
        <v>109</v>
      </c>
      <c r="F548" s="79" t="s">
        <v>50</v>
      </c>
      <c r="G548" s="79" t="s">
        <v>50</v>
      </c>
      <c r="H548" s="80" t="s">
        <v>50</v>
      </c>
      <c r="I548" s="79"/>
      <c r="J548" s="79"/>
      <c r="K548" s="80"/>
      <c r="L548" s="79"/>
      <c r="M548" s="79"/>
      <c r="N548" s="80"/>
      <c r="O548" s="79"/>
      <c r="P548" s="79"/>
      <c r="Q548" s="80"/>
    </row>
    <row r="549" spans="1:17" ht="60" customHeight="1">
      <c r="A549" s="81">
        <v>79</v>
      </c>
      <c r="B549" s="82"/>
      <c r="C549" s="101" t="s">
        <v>159</v>
      </c>
      <c r="D549" s="101" t="s">
        <v>117</v>
      </c>
      <c r="E549" s="84" t="s">
        <v>109</v>
      </c>
      <c r="F549" s="85"/>
      <c r="G549" s="86"/>
      <c r="H549" s="87"/>
      <c r="I549" s="86"/>
      <c r="J549" s="86"/>
      <c r="K549" s="87"/>
      <c r="L549" s="86"/>
      <c r="M549" s="86"/>
      <c r="N549" s="87"/>
      <c r="O549" s="86"/>
      <c r="P549" s="86"/>
      <c r="Q549" s="87"/>
    </row>
    <row r="550" spans="1:17" ht="45" customHeight="1">
      <c r="A550" s="81">
        <v>79</v>
      </c>
      <c r="B550" s="82"/>
      <c r="C550" s="101" t="s">
        <v>159</v>
      </c>
      <c r="D550" s="101" t="s">
        <v>117</v>
      </c>
      <c r="E550" s="84" t="s">
        <v>109</v>
      </c>
      <c r="F550" s="85"/>
      <c r="G550" s="85"/>
      <c r="H550" s="88"/>
      <c r="I550" s="86"/>
      <c r="J550" s="86"/>
      <c r="K550" s="87"/>
      <c r="L550" s="86"/>
      <c r="M550" s="86"/>
      <c r="N550" s="87"/>
      <c r="O550" s="86"/>
      <c r="P550" s="86"/>
      <c r="Q550" s="87"/>
    </row>
    <row r="551" spans="1:17" ht="14.45" customHeight="1">
      <c r="A551" s="81">
        <v>79</v>
      </c>
      <c r="B551" s="82"/>
      <c r="C551" s="101" t="s">
        <v>159</v>
      </c>
      <c r="D551" s="101" t="s">
        <v>117</v>
      </c>
      <c r="E551" s="84" t="s">
        <v>109</v>
      </c>
      <c r="F551" s="89">
        <v>218</v>
      </c>
      <c r="G551" s="89">
        <v>630</v>
      </c>
      <c r="H551" s="90">
        <v>108</v>
      </c>
      <c r="I551" s="86"/>
      <c r="J551" s="86"/>
      <c r="K551" s="87"/>
      <c r="L551" s="86"/>
      <c r="M551" s="86"/>
      <c r="N551" s="87"/>
      <c r="O551" s="86"/>
      <c r="P551" s="86"/>
      <c r="Q551" s="87"/>
    </row>
    <row r="552" spans="1:17" ht="45" customHeight="1">
      <c r="A552" s="81">
        <v>79</v>
      </c>
      <c r="B552" s="82"/>
      <c r="C552" s="101" t="s">
        <v>159</v>
      </c>
      <c r="D552" s="101" t="s">
        <v>117</v>
      </c>
      <c r="E552" s="84" t="s">
        <v>109</v>
      </c>
      <c r="F552" s="85"/>
      <c r="G552" s="85"/>
      <c r="H552" s="88"/>
      <c r="I552" s="86"/>
      <c r="J552" s="86"/>
      <c r="K552" s="87"/>
      <c r="L552" s="86"/>
      <c r="M552" s="86"/>
      <c r="N552" s="87"/>
      <c r="O552" s="86"/>
      <c r="P552" s="86"/>
      <c r="Q552" s="87"/>
    </row>
    <row r="553" spans="1:17" ht="14.45" customHeight="1">
      <c r="A553" s="81">
        <v>79</v>
      </c>
      <c r="B553" s="82"/>
      <c r="C553" s="101" t="s">
        <v>159</v>
      </c>
      <c r="D553" s="101" t="s">
        <v>117</v>
      </c>
      <c r="E553" s="84" t="s">
        <v>109</v>
      </c>
      <c r="F553" s="89">
        <v>340</v>
      </c>
      <c r="G553" s="85"/>
      <c r="H553" s="88"/>
      <c r="I553" s="86"/>
      <c r="J553" s="86"/>
      <c r="K553" s="87"/>
      <c r="L553" s="86"/>
      <c r="M553" s="86"/>
      <c r="N553" s="87"/>
      <c r="O553" s="86"/>
      <c r="P553" s="86"/>
      <c r="Q553" s="87"/>
    </row>
    <row r="554" spans="1:17" ht="24" customHeight="1">
      <c r="A554" s="91">
        <v>79</v>
      </c>
      <c r="B554" s="92"/>
      <c r="C554" s="102" t="s">
        <v>159</v>
      </c>
      <c r="D554" s="102" t="s">
        <v>117</v>
      </c>
      <c r="E554" s="94" t="s">
        <v>109</v>
      </c>
      <c r="F554" s="95" t="s">
        <v>56</v>
      </c>
      <c r="G554" s="96">
        <v>55400</v>
      </c>
      <c r="H554" s="97">
        <v>55400</v>
      </c>
      <c r="I554" s="98"/>
      <c r="J554" s="98"/>
      <c r="K554" s="99"/>
      <c r="L554" s="98"/>
      <c r="M554" s="98"/>
      <c r="N554" s="99"/>
      <c r="O554" s="98"/>
      <c r="P554" s="98"/>
      <c r="Q554" s="99"/>
    </row>
    <row r="555" spans="1:17" ht="14.45" customHeight="1">
      <c r="A555" s="75">
        <v>80</v>
      </c>
      <c r="B555" s="76"/>
      <c r="C555" s="100" t="s">
        <v>116</v>
      </c>
      <c r="D555" s="100" t="s">
        <v>117</v>
      </c>
      <c r="E555" s="78" t="s">
        <v>92</v>
      </c>
      <c r="F555" s="79" t="s">
        <v>50</v>
      </c>
      <c r="G555" s="79" t="s">
        <v>50</v>
      </c>
      <c r="H555" s="80" t="s">
        <v>50</v>
      </c>
      <c r="I555" s="79"/>
      <c r="J555" s="79"/>
      <c r="K555" s="80"/>
      <c r="L555" s="79"/>
      <c r="M555" s="79"/>
      <c r="N555" s="80"/>
      <c r="O555" s="79"/>
      <c r="P555" s="79"/>
      <c r="Q555" s="80"/>
    </row>
    <row r="556" spans="1:17" ht="60" customHeight="1">
      <c r="A556" s="81">
        <v>80</v>
      </c>
      <c r="B556" s="82"/>
      <c r="C556" s="101" t="s">
        <v>116</v>
      </c>
      <c r="D556" s="101" t="s">
        <v>117</v>
      </c>
      <c r="E556" s="84" t="s">
        <v>92</v>
      </c>
      <c r="F556" s="85"/>
      <c r="G556" s="86" t="s">
        <v>160</v>
      </c>
      <c r="H556" s="87" t="s">
        <v>160</v>
      </c>
      <c r="I556" s="86"/>
      <c r="J556" s="86"/>
      <c r="K556" s="87"/>
      <c r="L556" s="86"/>
      <c r="M556" s="86"/>
      <c r="N556" s="87"/>
      <c r="O556" s="86"/>
      <c r="P556" s="86"/>
      <c r="Q556" s="87"/>
    </row>
    <row r="557" spans="1:17" ht="45" customHeight="1">
      <c r="A557" s="81">
        <v>80</v>
      </c>
      <c r="B557" s="82"/>
      <c r="C557" s="101" t="s">
        <v>116</v>
      </c>
      <c r="D557" s="101" t="s">
        <v>117</v>
      </c>
      <c r="E557" s="84" t="s">
        <v>92</v>
      </c>
      <c r="F557" s="85"/>
      <c r="G557" s="85"/>
      <c r="H557" s="88"/>
      <c r="I557" s="86"/>
      <c r="J557" s="86"/>
      <c r="K557" s="87"/>
      <c r="L557" s="86"/>
      <c r="M557" s="86"/>
      <c r="N557" s="87"/>
      <c r="O557" s="86"/>
      <c r="P557" s="86"/>
      <c r="Q557" s="87"/>
    </row>
    <row r="558" spans="1:17" ht="14.45" customHeight="1">
      <c r="A558" s="81">
        <v>80</v>
      </c>
      <c r="B558" s="82"/>
      <c r="C558" s="101" t="s">
        <v>116</v>
      </c>
      <c r="D558" s="101" t="s">
        <v>117</v>
      </c>
      <c r="E558" s="84" t="s">
        <v>92</v>
      </c>
      <c r="F558" s="89">
        <v>391</v>
      </c>
      <c r="G558" s="89">
        <v>333</v>
      </c>
      <c r="H558" s="90">
        <v>100</v>
      </c>
      <c r="I558" s="86"/>
      <c r="J558" s="86"/>
      <c r="K558" s="87"/>
      <c r="L558" s="86"/>
      <c r="M558" s="86"/>
      <c r="N558" s="87"/>
      <c r="O558" s="86"/>
      <c r="P558" s="86"/>
      <c r="Q558" s="87"/>
    </row>
    <row r="559" spans="1:17" ht="45" customHeight="1">
      <c r="A559" s="81">
        <v>80</v>
      </c>
      <c r="B559" s="82"/>
      <c r="C559" s="101" t="s">
        <v>116</v>
      </c>
      <c r="D559" s="101" t="s">
        <v>117</v>
      </c>
      <c r="E559" s="84" t="s">
        <v>92</v>
      </c>
      <c r="F559" s="85"/>
      <c r="G559" s="85"/>
      <c r="H559" s="88"/>
      <c r="I559" s="86"/>
      <c r="J559" s="86"/>
      <c r="K559" s="87"/>
      <c r="L559" s="86"/>
      <c r="M559" s="86"/>
      <c r="N559" s="87"/>
      <c r="O559" s="86"/>
      <c r="P559" s="86"/>
      <c r="Q559" s="87"/>
    </row>
    <row r="560" spans="1:17" ht="14.45" customHeight="1">
      <c r="A560" s="81">
        <v>80</v>
      </c>
      <c r="B560" s="82"/>
      <c r="C560" s="101" t="s">
        <v>116</v>
      </c>
      <c r="D560" s="101" t="s">
        <v>117</v>
      </c>
      <c r="E560" s="84" t="s">
        <v>92</v>
      </c>
      <c r="F560" s="89">
        <v>6</v>
      </c>
      <c r="G560" s="85"/>
      <c r="H560" s="88"/>
      <c r="I560" s="86"/>
      <c r="J560" s="86"/>
      <c r="K560" s="87"/>
      <c r="L560" s="86"/>
      <c r="M560" s="86"/>
      <c r="N560" s="87"/>
      <c r="O560" s="86"/>
      <c r="P560" s="86"/>
      <c r="Q560" s="87"/>
    </row>
    <row r="561" spans="1:17" ht="24" customHeight="1">
      <c r="A561" s="91">
        <v>80</v>
      </c>
      <c r="B561" s="92"/>
      <c r="C561" s="102" t="s">
        <v>116</v>
      </c>
      <c r="D561" s="102" t="s">
        <v>117</v>
      </c>
      <c r="E561" s="94" t="s">
        <v>92</v>
      </c>
      <c r="F561" s="95" t="s">
        <v>56</v>
      </c>
      <c r="G561" s="96">
        <v>342000</v>
      </c>
      <c r="H561" s="97">
        <v>342000</v>
      </c>
      <c r="I561" s="98"/>
      <c r="J561" s="98"/>
      <c r="K561" s="99"/>
      <c r="L561" s="98"/>
      <c r="M561" s="98"/>
      <c r="N561" s="99"/>
      <c r="O561" s="98"/>
      <c r="P561" s="98"/>
      <c r="Q561" s="99"/>
    </row>
    <row r="562" spans="1:17" ht="14.45" customHeight="1">
      <c r="A562" s="75">
        <v>81</v>
      </c>
      <c r="B562" s="76"/>
      <c r="C562" s="100" t="s">
        <v>160</v>
      </c>
      <c r="D562" s="100" t="s">
        <v>117</v>
      </c>
      <c r="E562" s="78" t="s">
        <v>92</v>
      </c>
      <c r="F562" s="79" t="s">
        <v>50</v>
      </c>
      <c r="G562" s="79" t="s">
        <v>50</v>
      </c>
      <c r="H562" s="80" t="s">
        <v>50</v>
      </c>
      <c r="I562" s="79" t="s">
        <v>51</v>
      </c>
      <c r="J562" s="79" t="s">
        <v>51</v>
      </c>
      <c r="K562" s="80" t="s">
        <v>51</v>
      </c>
      <c r="L562" s="79"/>
      <c r="M562" s="79"/>
      <c r="N562" s="80"/>
      <c r="O562" s="79"/>
      <c r="P562" s="79"/>
      <c r="Q562" s="80"/>
    </row>
    <row r="563" spans="1:17" ht="60" customHeight="1">
      <c r="A563" s="81">
        <v>81</v>
      </c>
      <c r="B563" s="82"/>
      <c r="C563" s="101" t="s">
        <v>160</v>
      </c>
      <c r="D563" s="101" t="s">
        <v>117</v>
      </c>
      <c r="E563" s="84" t="s">
        <v>92</v>
      </c>
      <c r="F563" s="85"/>
      <c r="G563" s="86" t="s">
        <v>161</v>
      </c>
      <c r="H563" s="87" t="s">
        <v>161</v>
      </c>
      <c r="I563" s="85"/>
      <c r="J563" s="86"/>
      <c r="K563" s="87"/>
      <c r="L563" s="86"/>
      <c r="M563" s="86"/>
      <c r="N563" s="87"/>
      <c r="O563" s="86"/>
      <c r="P563" s="86"/>
      <c r="Q563" s="87"/>
    </row>
    <row r="564" spans="1:17" ht="45" customHeight="1">
      <c r="A564" s="81">
        <v>81</v>
      </c>
      <c r="B564" s="82"/>
      <c r="C564" s="101" t="s">
        <v>160</v>
      </c>
      <c r="D564" s="101" t="s">
        <v>117</v>
      </c>
      <c r="E564" s="84" t="s">
        <v>92</v>
      </c>
      <c r="F564" s="85"/>
      <c r="G564" s="85"/>
      <c r="H564" s="88"/>
      <c r="I564" s="85"/>
      <c r="J564" s="85"/>
      <c r="K564" s="88"/>
      <c r="L564" s="86"/>
      <c r="M564" s="86"/>
      <c r="N564" s="87"/>
      <c r="O564" s="86"/>
      <c r="P564" s="86"/>
      <c r="Q564" s="87"/>
    </row>
    <row r="565" spans="1:17" ht="14.45" customHeight="1">
      <c r="A565" s="81">
        <v>81</v>
      </c>
      <c r="B565" s="82"/>
      <c r="C565" s="101" t="s">
        <v>160</v>
      </c>
      <c r="D565" s="101" t="s">
        <v>117</v>
      </c>
      <c r="E565" s="84" t="s">
        <v>92</v>
      </c>
      <c r="F565" s="89">
        <v>171</v>
      </c>
      <c r="G565" s="89">
        <v>294</v>
      </c>
      <c r="H565" s="90">
        <v>59</v>
      </c>
      <c r="I565" s="89">
        <v>217</v>
      </c>
      <c r="J565" s="89">
        <v>375</v>
      </c>
      <c r="K565" s="90">
        <v>75</v>
      </c>
      <c r="L565" s="86"/>
      <c r="M565" s="86"/>
      <c r="N565" s="87"/>
      <c r="O565" s="86"/>
      <c r="P565" s="86"/>
      <c r="Q565" s="87"/>
    </row>
    <row r="566" spans="1:17" ht="45" customHeight="1">
      <c r="A566" s="81">
        <v>81</v>
      </c>
      <c r="B566" s="82"/>
      <c r="C566" s="101" t="s">
        <v>160</v>
      </c>
      <c r="D566" s="101" t="s">
        <v>117</v>
      </c>
      <c r="E566" s="84" t="s">
        <v>92</v>
      </c>
      <c r="F566" s="85"/>
      <c r="G566" s="85"/>
      <c r="H566" s="88"/>
      <c r="I566" s="85"/>
      <c r="J566" s="85"/>
      <c r="K566" s="88"/>
      <c r="L566" s="86"/>
      <c r="M566" s="86"/>
      <c r="N566" s="87"/>
      <c r="O566" s="86"/>
      <c r="P566" s="86"/>
      <c r="Q566" s="87"/>
    </row>
    <row r="567" spans="1:17" ht="14.45" customHeight="1">
      <c r="A567" s="81">
        <v>81</v>
      </c>
      <c r="B567" s="82"/>
      <c r="C567" s="101" t="s">
        <v>160</v>
      </c>
      <c r="D567" s="101" t="s">
        <v>117</v>
      </c>
      <c r="E567" s="84" t="s">
        <v>92</v>
      </c>
      <c r="F567" s="89">
        <v>200</v>
      </c>
      <c r="G567" s="85"/>
      <c r="H567" s="88"/>
      <c r="I567" s="89">
        <v>255</v>
      </c>
      <c r="J567" s="85"/>
      <c r="K567" s="88"/>
      <c r="L567" s="86"/>
      <c r="M567" s="86"/>
      <c r="N567" s="87"/>
      <c r="O567" s="86"/>
      <c r="P567" s="86"/>
      <c r="Q567" s="87"/>
    </row>
    <row r="568" spans="1:17" ht="24" customHeight="1">
      <c r="A568" s="91">
        <v>81</v>
      </c>
      <c r="B568" s="92"/>
      <c r="C568" s="102" t="s">
        <v>160</v>
      </c>
      <c r="D568" s="102" t="s">
        <v>117</v>
      </c>
      <c r="E568" s="94" t="s">
        <v>92</v>
      </c>
      <c r="F568" s="95" t="s">
        <v>56</v>
      </c>
      <c r="G568" s="96">
        <v>94000</v>
      </c>
      <c r="H568" s="97">
        <v>94000</v>
      </c>
      <c r="I568" s="95" t="s">
        <v>56</v>
      </c>
      <c r="J568" s="96">
        <v>120000</v>
      </c>
      <c r="K568" s="97">
        <v>120000</v>
      </c>
      <c r="L568" s="98"/>
      <c r="M568" s="98"/>
      <c r="N568" s="99"/>
      <c r="O568" s="98"/>
      <c r="P568" s="98"/>
      <c r="Q568" s="99"/>
    </row>
    <row r="569" spans="1:17" ht="14.45" customHeight="1">
      <c r="A569" s="75">
        <v>82</v>
      </c>
      <c r="B569" s="76"/>
      <c r="C569" s="100" t="s">
        <v>141</v>
      </c>
      <c r="D569" s="100" t="s">
        <v>117</v>
      </c>
      <c r="E569" s="78" t="s">
        <v>92</v>
      </c>
      <c r="F569" s="79" t="s">
        <v>50</v>
      </c>
      <c r="G569" s="79" t="s">
        <v>50</v>
      </c>
      <c r="H569" s="80" t="s">
        <v>50</v>
      </c>
      <c r="I569" s="79" t="s">
        <v>51</v>
      </c>
      <c r="J569" s="79" t="s">
        <v>51</v>
      </c>
      <c r="K569" s="80" t="s">
        <v>51</v>
      </c>
      <c r="L569" s="79" t="s">
        <v>52</v>
      </c>
      <c r="M569" s="79" t="s">
        <v>52</v>
      </c>
      <c r="N569" s="80" t="s">
        <v>52</v>
      </c>
      <c r="O569" s="79"/>
      <c r="P569" s="79"/>
      <c r="Q569" s="80"/>
    </row>
    <row r="570" spans="1:17" ht="60" customHeight="1">
      <c r="A570" s="81">
        <v>82</v>
      </c>
      <c r="B570" s="82"/>
      <c r="C570" s="101" t="s">
        <v>141</v>
      </c>
      <c r="D570" s="101" t="s">
        <v>117</v>
      </c>
      <c r="E570" s="84" t="s">
        <v>92</v>
      </c>
      <c r="F570" s="85"/>
      <c r="G570" s="86" t="s">
        <v>162</v>
      </c>
      <c r="H570" s="87" t="s">
        <v>162</v>
      </c>
      <c r="I570" s="85"/>
      <c r="J570" s="86" t="s">
        <v>163</v>
      </c>
      <c r="K570" s="87" t="s">
        <v>163</v>
      </c>
      <c r="L570" s="85"/>
      <c r="M570" s="86"/>
      <c r="N570" s="87"/>
      <c r="O570" s="86"/>
      <c r="P570" s="86"/>
      <c r="Q570" s="87"/>
    </row>
    <row r="571" spans="1:17" ht="45" customHeight="1">
      <c r="A571" s="81">
        <v>82</v>
      </c>
      <c r="B571" s="82"/>
      <c r="C571" s="101" t="s">
        <v>141</v>
      </c>
      <c r="D571" s="101" t="s">
        <v>117</v>
      </c>
      <c r="E571" s="84" t="s">
        <v>92</v>
      </c>
      <c r="F571" s="85"/>
      <c r="G571" s="85"/>
      <c r="H571" s="88"/>
      <c r="I571" s="85"/>
      <c r="J571" s="85"/>
      <c r="K571" s="88"/>
      <c r="L571" s="85"/>
      <c r="M571" s="85"/>
      <c r="N571" s="88"/>
      <c r="O571" s="86"/>
      <c r="P571" s="86"/>
      <c r="Q571" s="87"/>
    </row>
    <row r="572" spans="1:17" ht="14.45" customHeight="1">
      <c r="A572" s="81">
        <v>82</v>
      </c>
      <c r="B572" s="82"/>
      <c r="C572" s="101" t="s">
        <v>141</v>
      </c>
      <c r="D572" s="101" t="s">
        <v>117</v>
      </c>
      <c r="E572" s="84" t="s">
        <v>92</v>
      </c>
      <c r="F572" s="89">
        <v>171</v>
      </c>
      <c r="G572" s="89">
        <v>294</v>
      </c>
      <c r="H572" s="90">
        <v>59</v>
      </c>
      <c r="I572" s="89">
        <v>171</v>
      </c>
      <c r="J572" s="89">
        <v>294</v>
      </c>
      <c r="K572" s="90">
        <v>59</v>
      </c>
      <c r="L572" s="89">
        <v>217</v>
      </c>
      <c r="M572" s="89">
        <v>375</v>
      </c>
      <c r="N572" s="90">
        <v>75</v>
      </c>
      <c r="O572" s="86"/>
      <c r="P572" s="86"/>
      <c r="Q572" s="87"/>
    </row>
    <row r="573" spans="1:17" ht="45" customHeight="1">
      <c r="A573" s="81">
        <v>82</v>
      </c>
      <c r="B573" s="82"/>
      <c r="C573" s="101" t="s">
        <v>141</v>
      </c>
      <c r="D573" s="101" t="s">
        <v>117</v>
      </c>
      <c r="E573" s="84" t="s">
        <v>92</v>
      </c>
      <c r="F573" s="85"/>
      <c r="G573" s="85"/>
      <c r="H573" s="88"/>
      <c r="I573" s="85"/>
      <c r="J573" s="85"/>
      <c r="K573" s="88"/>
      <c r="L573" s="85"/>
      <c r="M573" s="85"/>
      <c r="N573" s="88"/>
      <c r="O573" s="86"/>
      <c r="P573" s="86"/>
      <c r="Q573" s="87"/>
    </row>
    <row r="574" spans="1:17" ht="14.45" customHeight="1">
      <c r="A574" s="81">
        <v>82</v>
      </c>
      <c r="B574" s="82"/>
      <c r="C574" s="101" t="s">
        <v>141</v>
      </c>
      <c r="D574" s="101" t="s">
        <v>117</v>
      </c>
      <c r="E574" s="84" t="s">
        <v>92</v>
      </c>
      <c r="F574" s="89">
        <v>200</v>
      </c>
      <c r="G574" s="85"/>
      <c r="H574" s="88"/>
      <c r="I574" s="89">
        <v>200</v>
      </c>
      <c r="J574" s="85"/>
      <c r="K574" s="88"/>
      <c r="L574" s="89">
        <v>255</v>
      </c>
      <c r="M574" s="85"/>
      <c r="N574" s="88"/>
      <c r="O574" s="86"/>
      <c r="P574" s="86"/>
      <c r="Q574" s="87"/>
    </row>
    <row r="575" spans="1:17" ht="24" customHeight="1">
      <c r="A575" s="91">
        <v>82</v>
      </c>
      <c r="B575" s="92"/>
      <c r="C575" s="102" t="s">
        <v>141</v>
      </c>
      <c r="D575" s="102" t="s">
        <v>117</v>
      </c>
      <c r="E575" s="94" t="s">
        <v>92</v>
      </c>
      <c r="F575" s="95" t="s">
        <v>56</v>
      </c>
      <c r="G575" s="96">
        <v>94000</v>
      </c>
      <c r="H575" s="97">
        <v>94000</v>
      </c>
      <c r="I575" s="95" t="s">
        <v>56</v>
      </c>
      <c r="J575" s="96">
        <v>94000</v>
      </c>
      <c r="K575" s="97">
        <v>94000</v>
      </c>
      <c r="L575" s="95" t="s">
        <v>56</v>
      </c>
      <c r="M575" s="96">
        <v>120000</v>
      </c>
      <c r="N575" s="97">
        <v>120000</v>
      </c>
      <c r="O575" s="98"/>
      <c r="P575" s="98"/>
      <c r="Q575" s="99"/>
    </row>
    <row r="576" spans="1:17" ht="14.45" customHeight="1">
      <c r="A576" s="75">
        <v>83</v>
      </c>
      <c r="B576" s="76"/>
      <c r="C576" s="100" t="s">
        <v>142</v>
      </c>
      <c r="D576" s="100" t="s">
        <v>117</v>
      </c>
      <c r="E576" s="78" t="s">
        <v>92</v>
      </c>
      <c r="F576" s="79" t="s">
        <v>50</v>
      </c>
      <c r="G576" s="79" t="s">
        <v>50</v>
      </c>
      <c r="H576" s="80" t="s">
        <v>50</v>
      </c>
      <c r="I576" s="79" t="s">
        <v>51</v>
      </c>
      <c r="J576" s="79" t="s">
        <v>51</v>
      </c>
      <c r="K576" s="80" t="s">
        <v>51</v>
      </c>
      <c r="L576" s="79"/>
      <c r="M576" s="79"/>
      <c r="N576" s="80"/>
      <c r="O576" s="79"/>
      <c r="P576" s="79"/>
      <c r="Q576" s="80"/>
    </row>
    <row r="577" spans="1:17" ht="60" customHeight="1">
      <c r="A577" s="81">
        <v>83</v>
      </c>
      <c r="B577" s="82"/>
      <c r="C577" s="101" t="s">
        <v>142</v>
      </c>
      <c r="D577" s="101" t="s">
        <v>117</v>
      </c>
      <c r="E577" s="84" t="s">
        <v>92</v>
      </c>
      <c r="F577" s="85"/>
      <c r="G577" s="86" t="s">
        <v>161</v>
      </c>
      <c r="H577" s="87" t="s">
        <v>161</v>
      </c>
      <c r="I577" s="85"/>
      <c r="J577" s="86"/>
      <c r="K577" s="87"/>
      <c r="L577" s="86"/>
      <c r="M577" s="86"/>
      <c r="N577" s="87"/>
      <c r="O577" s="86"/>
      <c r="P577" s="86"/>
      <c r="Q577" s="87"/>
    </row>
    <row r="578" spans="1:17" ht="45" customHeight="1">
      <c r="A578" s="81">
        <v>83</v>
      </c>
      <c r="B578" s="82"/>
      <c r="C578" s="101" t="s">
        <v>142</v>
      </c>
      <c r="D578" s="101" t="s">
        <v>117</v>
      </c>
      <c r="E578" s="84" t="s">
        <v>92</v>
      </c>
      <c r="F578" s="85"/>
      <c r="G578" s="85"/>
      <c r="H578" s="88"/>
      <c r="I578" s="85"/>
      <c r="J578" s="85"/>
      <c r="K578" s="88"/>
      <c r="L578" s="86"/>
      <c r="M578" s="86"/>
      <c r="N578" s="87"/>
      <c r="O578" s="86"/>
      <c r="P578" s="86"/>
      <c r="Q578" s="87"/>
    </row>
    <row r="579" spans="1:17" ht="14.45" customHeight="1">
      <c r="A579" s="81">
        <v>83</v>
      </c>
      <c r="B579" s="82"/>
      <c r="C579" s="101" t="s">
        <v>142</v>
      </c>
      <c r="D579" s="101" t="s">
        <v>117</v>
      </c>
      <c r="E579" s="84" t="s">
        <v>92</v>
      </c>
      <c r="F579" s="89">
        <v>171</v>
      </c>
      <c r="G579" s="89">
        <v>294</v>
      </c>
      <c r="H579" s="90">
        <v>59</v>
      </c>
      <c r="I579" s="89">
        <v>217</v>
      </c>
      <c r="J579" s="89">
        <v>375</v>
      </c>
      <c r="K579" s="90">
        <v>75</v>
      </c>
      <c r="L579" s="86"/>
      <c r="M579" s="86"/>
      <c r="N579" s="87"/>
      <c r="O579" s="86"/>
      <c r="P579" s="86"/>
      <c r="Q579" s="87"/>
    </row>
    <row r="580" spans="1:17" ht="45" customHeight="1">
      <c r="A580" s="81">
        <v>83</v>
      </c>
      <c r="B580" s="82"/>
      <c r="C580" s="101" t="s">
        <v>142</v>
      </c>
      <c r="D580" s="101" t="s">
        <v>117</v>
      </c>
      <c r="E580" s="84" t="s">
        <v>92</v>
      </c>
      <c r="F580" s="85"/>
      <c r="G580" s="85"/>
      <c r="H580" s="88"/>
      <c r="I580" s="85"/>
      <c r="J580" s="85"/>
      <c r="K580" s="88"/>
      <c r="L580" s="86"/>
      <c r="M580" s="86"/>
      <c r="N580" s="87"/>
      <c r="O580" s="86"/>
      <c r="P580" s="86"/>
      <c r="Q580" s="87"/>
    </row>
    <row r="581" spans="1:17" ht="14.45" customHeight="1">
      <c r="A581" s="81">
        <v>83</v>
      </c>
      <c r="B581" s="82"/>
      <c r="C581" s="101" t="s">
        <v>142</v>
      </c>
      <c r="D581" s="101" t="s">
        <v>117</v>
      </c>
      <c r="E581" s="84" t="s">
        <v>92</v>
      </c>
      <c r="F581" s="89">
        <v>200</v>
      </c>
      <c r="G581" s="85"/>
      <c r="H581" s="88"/>
      <c r="I581" s="89">
        <v>255</v>
      </c>
      <c r="J581" s="85"/>
      <c r="K581" s="88"/>
      <c r="L581" s="86"/>
      <c r="M581" s="86"/>
      <c r="N581" s="87"/>
      <c r="O581" s="86"/>
      <c r="P581" s="86"/>
      <c r="Q581" s="87"/>
    </row>
    <row r="582" spans="1:17" ht="24" customHeight="1">
      <c r="A582" s="91">
        <v>83</v>
      </c>
      <c r="B582" s="92"/>
      <c r="C582" s="102" t="s">
        <v>142</v>
      </c>
      <c r="D582" s="102" t="s">
        <v>117</v>
      </c>
      <c r="E582" s="94" t="s">
        <v>92</v>
      </c>
      <c r="F582" s="95" t="s">
        <v>56</v>
      </c>
      <c r="G582" s="96">
        <v>94000</v>
      </c>
      <c r="H582" s="97">
        <v>94000</v>
      </c>
      <c r="I582" s="95" t="s">
        <v>56</v>
      </c>
      <c r="J582" s="96">
        <v>120000</v>
      </c>
      <c r="K582" s="97">
        <v>120000</v>
      </c>
      <c r="L582" s="98"/>
      <c r="M582" s="98"/>
      <c r="N582" s="99"/>
      <c r="O582" s="98"/>
      <c r="P582" s="98"/>
      <c r="Q582" s="99"/>
    </row>
    <row r="583" spans="1:17" ht="14.45" customHeight="1">
      <c r="A583" s="75">
        <v>84</v>
      </c>
      <c r="B583" s="76"/>
      <c r="C583" s="100" t="s">
        <v>148</v>
      </c>
      <c r="D583" s="100" t="s">
        <v>117</v>
      </c>
      <c r="E583" s="78" t="s">
        <v>109</v>
      </c>
      <c r="F583" s="79" t="s">
        <v>50</v>
      </c>
      <c r="G583" s="79" t="s">
        <v>50</v>
      </c>
      <c r="H583" s="80" t="s">
        <v>50</v>
      </c>
      <c r="I583" s="79"/>
      <c r="J583" s="79"/>
      <c r="K583" s="80"/>
      <c r="L583" s="79"/>
      <c r="M583" s="79"/>
      <c r="N583" s="80"/>
      <c r="O583" s="79"/>
      <c r="P583" s="79"/>
      <c r="Q583" s="80"/>
    </row>
    <row r="584" spans="1:17" ht="60" customHeight="1">
      <c r="A584" s="81">
        <v>84</v>
      </c>
      <c r="B584" s="82"/>
      <c r="C584" s="101" t="s">
        <v>148</v>
      </c>
      <c r="D584" s="101" t="s">
        <v>117</v>
      </c>
      <c r="E584" s="84" t="s">
        <v>109</v>
      </c>
      <c r="F584" s="85"/>
      <c r="G584" s="86" t="s">
        <v>164</v>
      </c>
      <c r="H584" s="87" t="s">
        <v>164</v>
      </c>
      <c r="I584" s="86"/>
      <c r="J584" s="86"/>
      <c r="K584" s="87"/>
      <c r="L584" s="86"/>
      <c r="M584" s="86"/>
      <c r="N584" s="87"/>
      <c r="O584" s="86"/>
      <c r="P584" s="86"/>
      <c r="Q584" s="87"/>
    </row>
    <row r="585" spans="1:17" ht="45" customHeight="1">
      <c r="A585" s="81">
        <v>84</v>
      </c>
      <c r="B585" s="82"/>
      <c r="C585" s="101" t="s">
        <v>148</v>
      </c>
      <c r="D585" s="101" t="s">
        <v>117</v>
      </c>
      <c r="E585" s="84" t="s">
        <v>109</v>
      </c>
      <c r="F585" s="85"/>
      <c r="G585" s="85"/>
      <c r="H585" s="88"/>
      <c r="I585" s="86"/>
      <c r="J585" s="86"/>
      <c r="K585" s="87"/>
      <c r="L585" s="86"/>
      <c r="M585" s="86"/>
      <c r="N585" s="87"/>
      <c r="O585" s="86"/>
      <c r="P585" s="86"/>
      <c r="Q585" s="87"/>
    </row>
    <row r="586" spans="1:17" ht="14.45" customHeight="1">
      <c r="A586" s="81">
        <v>84</v>
      </c>
      <c r="B586" s="82"/>
      <c r="C586" s="101" t="s">
        <v>148</v>
      </c>
      <c r="D586" s="101" t="s">
        <v>117</v>
      </c>
      <c r="E586" s="84" t="s">
        <v>109</v>
      </c>
      <c r="F586" s="89">
        <v>98</v>
      </c>
      <c r="G586" s="89">
        <v>370</v>
      </c>
      <c r="H586" s="90">
        <v>53</v>
      </c>
      <c r="I586" s="86"/>
      <c r="J586" s="86"/>
      <c r="K586" s="87"/>
      <c r="L586" s="86"/>
      <c r="M586" s="86"/>
      <c r="N586" s="87"/>
      <c r="O586" s="86"/>
      <c r="P586" s="86"/>
      <c r="Q586" s="87"/>
    </row>
    <row r="587" spans="1:17" ht="45" customHeight="1">
      <c r="A587" s="81">
        <v>84</v>
      </c>
      <c r="B587" s="82"/>
      <c r="C587" s="101" t="s">
        <v>148</v>
      </c>
      <c r="D587" s="101" t="s">
        <v>117</v>
      </c>
      <c r="E587" s="84" t="s">
        <v>109</v>
      </c>
      <c r="F587" s="85"/>
      <c r="G587" s="85"/>
      <c r="H587" s="88"/>
      <c r="I587" s="86"/>
      <c r="J587" s="86"/>
      <c r="K587" s="87"/>
      <c r="L587" s="86"/>
      <c r="M587" s="86"/>
      <c r="N587" s="87"/>
      <c r="O587" s="86"/>
      <c r="P587" s="86"/>
      <c r="Q587" s="87"/>
    </row>
    <row r="588" spans="1:17" ht="14.45" customHeight="1">
      <c r="A588" s="81">
        <v>84</v>
      </c>
      <c r="B588" s="82"/>
      <c r="C588" s="101" t="s">
        <v>148</v>
      </c>
      <c r="D588" s="101" t="s">
        <v>117</v>
      </c>
      <c r="E588" s="84" t="s">
        <v>109</v>
      </c>
      <c r="F588" s="85"/>
      <c r="G588" s="85"/>
      <c r="H588" s="88"/>
      <c r="I588" s="86"/>
      <c r="J588" s="86"/>
      <c r="K588" s="87"/>
      <c r="L588" s="86"/>
      <c r="M588" s="86"/>
      <c r="N588" s="87"/>
      <c r="O588" s="86"/>
      <c r="P588" s="86"/>
      <c r="Q588" s="87"/>
    </row>
    <row r="589" spans="1:17" ht="24" customHeight="1">
      <c r="A589" s="91">
        <v>84</v>
      </c>
      <c r="B589" s="92"/>
      <c r="C589" s="102" t="s">
        <v>148</v>
      </c>
      <c r="D589" s="102" t="s">
        <v>117</v>
      </c>
      <c r="E589" s="94" t="s">
        <v>109</v>
      </c>
      <c r="F589" s="95" t="s">
        <v>56</v>
      </c>
      <c r="G589" s="96">
        <v>70400</v>
      </c>
      <c r="H589" s="97">
        <v>70400</v>
      </c>
      <c r="I589" s="98"/>
      <c r="J589" s="98"/>
      <c r="K589" s="99"/>
      <c r="L589" s="98"/>
      <c r="M589" s="98"/>
      <c r="N589" s="99"/>
      <c r="O589" s="98"/>
      <c r="P589" s="98"/>
      <c r="Q589" s="99"/>
    </row>
    <row r="590" spans="1:17" ht="14.45" customHeight="1">
      <c r="A590" s="75">
        <v>85</v>
      </c>
      <c r="B590" s="76"/>
      <c r="C590" s="103" t="s">
        <v>143</v>
      </c>
      <c r="D590" s="103" t="s">
        <v>165</v>
      </c>
      <c r="E590" s="78" t="s">
        <v>49</v>
      </c>
      <c r="F590" s="79" t="s">
        <v>50</v>
      </c>
      <c r="G590" s="79" t="s">
        <v>50</v>
      </c>
      <c r="H590" s="80" t="s">
        <v>50</v>
      </c>
      <c r="I590" s="79" t="s">
        <v>51</v>
      </c>
      <c r="J590" s="79" t="s">
        <v>51</v>
      </c>
      <c r="K590" s="80" t="s">
        <v>51</v>
      </c>
      <c r="L590" s="79"/>
      <c r="M590" s="79"/>
      <c r="N590" s="80"/>
      <c r="O590" s="79"/>
      <c r="P590" s="79"/>
      <c r="Q590" s="80"/>
    </row>
    <row r="591" spans="1:17" ht="60" customHeight="1">
      <c r="A591" s="81">
        <v>85</v>
      </c>
      <c r="B591" s="82"/>
      <c r="C591" s="104" t="s">
        <v>143</v>
      </c>
      <c r="D591" s="104" t="s">
        <v>165</v>
      </c>
      <c r="E591" s="84" t="s">
        <v>49</v>
      </c>
      <c r="F591" s="85"/>
      <c r="G591" s="86" t="s">
        <v>166</v>
      </c>
      <c r="H591" s="87" t="s">
        <v>166</v>
      </c>
      <c r="I591" s="85"/>
      <c r="J591" s="86"/>
      <c r="K591" s="87"/>
      <c r="L591" s="86"/>
      <c r="M591" s="86"/>
      <c r="N591" s="87"/>
      <c r="O591" s="86"/>
      <c r="P591" s="86"/>
      <c r="Q591" s="87"/>
    </row>
    <row r="592" spans="1:17" ht="45" customHeight="1">
      <c r="A592" s="81">
        <v>85</v>
      </c>
      <c r="B592" s="82"/>
      <c r="C592" s="104" t="s">
        <v>143</v>
      </c>
      <c r="D592" s="104" t="s">
        <v>165</v>
      </c>
      <c r="E592" s="84" t="s">
        <v>49</v>
      </c>
      <c r="F592" s="85"/>
      <c r="G592" s="85"/>
      <c r="H592" s="88"/>
      <c r="I592" s="85"/>
      <c r="J592" s="85"/>
      <c r="K592" s="88"/>
      <c r="L592" s="86"/>
      <c r="M592" s="86"/>
      <c r="N592" s="87"/>
      <c r="O592" s="86"/>
      <c r="P592" s="86"/>
      <c r="Q592" s="87"/>
    </row>
    <row r="593" spans="1:17" ht="14.45" customHeight="1">
      <c r="A593" s="81">
        <v>85</v>
      </c>
      <c r="B593" s="82"/>
      <c r="C593" s="104" t="s">
        <v>143</v>
      </c>
      <c r="D593" s="104" t="s">
        <v>165</v>
      </c>
      <c r="E593" s="84" t="s">
        <v>49</v>
      </c>
      <c r="F593" s="89">
        <v>140</v>
      </c>
      <c r="G593" s="89">
        <v>220</v>
      </c>
      <c r="H593" s="90">
        <v>34</v>
      </c>
      <c r="I593" s="89">
        <v>164</v>
      </c>
      <c r="J593" s="89">
        <v>259</v>
      </c>
      <c r="K593" s="90">
        <v>40</v>
      </c>
      <c r="L593" s="86"/>
      <c r="M593" s="86"/>
      <c r="N593" s="87"/>
      <c r="O593" s="86"/>
      <c r="P593" s="86"/>
      <c r="Q593" s="87"/>
    </row>
    <row r="594" spans="1:17" ht="45" customHeight="1">
      <c r="A594" s="81">
        <v>85</v>
      </c>
      <c r="B594" s="82"/>
      <c r="C594" s="104" t="s">
        <v>143</v>
      </c>
      <c r="D594" s="104" t="s">
        <v>165</v>
      </c>
      <c r="E594" s="84" t="s">
        <v>49</v>
      </c>
      <c r="F594" s="85"/>
      <c r="G594" s="85"/>
      <c r="H594" s="88"/>
      <c r="I594" s="85"/>
      <c r="J594" s="85"/>
      <c r="K594" s="88"/>
      <c r="L594" s="86"/>
      <c r="M594" s="86"/>
      <c r="N594" s="87"/>
      <c r="O594" s="86"/>
      <c r="P594" s="86"/>
      <c r="Q594" s="87"/>
    </row>
    <row r="595" spans="1:17" ht="14.45" customHeight="1">
      <c r="A595" s="81">
        <v>85</v>
      </c>
      <c r="B595" s="82"/>
      <c r="C595" s="104" t="s">
        <v>143</v>
      </c>
      <c r="D595" s="104" t="s">
        <v>165</v>
      </c>
      <c r="E595" s="84" t="s">
        <v>49</v>
      </c>
      <c r="F595" s="89">
        <v>166</v>
      </c>
      <c r="G595" s="85"/>
      <c r="H595" s="88"/>
      <c r="I595" s="89">
        <v>195</v>
      </c>
      <c r="J595" s="85"/>
      <c r="K595" s="88"/>
      <c r="L595" s="86"/>
      <c r="M595" s="86"/>
      <c r="N595" s="87"/>
      <c r="O595" s="86"/>
      <c r="P595" s="86"/>
      <c r="Q595" s="87"/>
    </row>
    <row r="596" spans="1:17" ht="24" customHeight="1">
      <c r="A596" s="91">
        <v>85</v>
      </c>
      <c r="B596" s="92"/>
      <c r="C596" s="105" t="s">
        <v>143</v>
      </c>
      <c r="D596" s="105" t="s">
        <v>165</v>
      </c>
      <c r="E596" s="94" t="s">
        <v>49</v>
      </c>
      <c r="F596" s="95" t="s">
        <v>56</v>
      </c>
      <c r="G596" s="96">
        <v>58300</v>
      </c>
      <c r="H596" s="97">
        <v>58300</v>
      </c>
      <c r="I596" s="95" t="s">
        <v>56</v>
      </c>
      <c r="J596" s="96">
        <v>68500</v>
      </c>
      <c r="K596" s="97">
        <v>68500</v>
      </c>
      <c r="L596" s="98"/>
      <c r="M596" s="98"/>
      <c r="N596" s="99"/>
      <c r="O596" s="98"/>
      <c r="P596" s="98"/>
      <c r="Q596" s="99"/>
    </row>
    <row r="597" spans="1:17" ht="14.45" customHeight="1">
      <c r="A597" s="75">
        <v>86</v>
      </c>
      <c r="B597" s="76"/>
      <c r="C597" s="103" t="s">
        <v>144</v>
      </c>
      <c r="D597" s="103" t="s">
        <v>165</v>
      </c>
      <c r="E597" s="78" t="s">
        <v>49</v>
      </c>
      <c r="F597" s="79" t="s">
        <v>50</v>
      </c>
      <c r="G597" s="79" t="s">
        <v>50</v>
      </c>
      <c r="H597" s="80" t="s">
        <v>50</v>
      </c>
      <c r="I597" s="79" t="s">
        <v>51</v>
      </c>
      <c r="J597" s="79" t="s">
        <v>51</v>
      </c>
      <c r="K597" s="80" t="s">
        <v>51</v>
      </c>
      <c r="L597" s="79"/>
      <c r="M597" s="79"/>
      <c r="N597" s="80"/>
      <c r="O597" s="79"/>
      <c r="P597" s="79"/>
      <c r="Q597" s="80"/>
    </row>
    <row r="598" spans="1:17" ht="60" customHeight="1">
      <c r="A598" s="81">
        <v>86</v>
      </c>
      <c r="B598" s="82"/>
      <c r="C598" s="104" t="s">
        <v>144</v>
      </c>
      <c r="D598" s="104" t="s">
        <v>165</v>
      </c>
      <c r="E598" s="84" t="s">
        <v>49</v>
      </c>
      <c r="F598" s="85"/>
      <c r="G598" s="86" t="s">
        <v>166</v>
      </c>
      <c r="H598" s="87" t="s">
        <v>166</v>
      </c>
      <c r="I598" s="85"/>
      <c r="J598" s="86"/>
      <c r="K598" s="87"/>
      <c r="L598" s="86"/>
      <c r="M598" s="86"/>
      <c r="N598" s="87"/>
      <c r="O598" s="86"/>
      <c r="P598" s="86"/>
      <c r="Q598" s="87"/>
    </row>
    <row r="599" spans="1:17" ht="45" customHeight="1">
      <c r="A599" s="81">
        <v>86</v>
      </c>
      <c r="B599" s="82"/>
      <c r="C599" s="104" t="s">
        <v>144</v>
      </c>
      <c r="D599" s="104" t="s">
        <v>165</v>
      </c>
      <c r="E599" s="84" t="s">
        <v>49</v>
      </c>
      <c r="F599" s="85"/>
      <c r="G599" s="85"/>
      <c r="H599" s="88"/>
      <c r="I599" s="85"/>
      <c r="J599" s="85"/>
      <c r="K599" s="88"/>
      <c r="L599" s="86"/>
      <c r="M599" s="86"/>
      <c r="N599" s="87"/>
      <c r="O599" s="86"/>
      <c r="P599" s="86"/>
      <c r="Q599" s="87"/>
    </row>
    <row r="600" spans="1:17" ht="14.45" customHeight="1">
      <c r="A600" s="81">
        <v>86</v>
      </c>
      <c r="B600" s="82"/>
      <c r="C600" s="104" t="s">
        <v>144</v>
      </c>
      <c r="D600" s="104" t="s">
        <v>165</v>
      </c>
      <c r="E600" s="84" t="s">
        <v>49</v>
      </c>
      <c r="F600" s="89">
        <v>140</v>
      </c>
      <c r="G600" s="89">
        <v>220</v>
      </c>
      <c r="H600" s="90">
        <v>34</v>
      </c>
      <c r="I600" s="89">
        <v>164</v>
      </c>
      <c r="J600" s="89">
        <v>259</v>
      </c>
      <c r="K600" s="90">
        <v>40</v>
      </c>
      <c r="L600" s="86"/>
      <c r="M600" s="86"/>
      <c r="N600" s="87"/>
      <c r="O600" s="86"/>
      <c r="P600" s="86"/>
      <c r="Q600" s="87"/>
    </row>
    <row r="601" spans="1:17" ht="45" customHeight="1">
      <c r="A601" s="81">
        <v>86</v>
      </c>
      <c r="B601" s="82"/>
      <c r="C601" s="104" t="s">
        <v>144</v>
      </c>
      <c r="D601" s="104" t="s">
        <v>165</v>
      </c>
      <c r="E601" s="84" t="s">
        <v>49</v>
      </c>
      <c r="F601" s="85"/>
      <c r="G601" s="85"/>
      <c r="H601" s="88"/>
      <c r="I601" s="85"/>
      <c r="J601" s="85"/>
      <c r="K601" s="88"/>
      <c r="L601" s="86"/>
      <c r="M601" s="86"/>
      <c r="N601" s="87"/>
      <c r="O601" s="86"/>
      <c r="P601" s="86"/>
      <c r="Q601" s="87"/>
    </row>
    <row r="602" spans="1:17" ht="14.45" customHeight="1">
      <c r="A602" s="81">
        <v>86</v>
      </c>
      <c r="B602" s="82"/>
      <c r="C602" s="104" t="s">
        <v>144</v>
      </c>
      <c r="D602" s="104" t="s">
        <v>165</v>
      </c>
      <c r="E602" s="84" t="s">
        <v>49</v>
      </c>
      <c r="F602" s="89">
        <v>166</v>
      </c>
      <c r="G602" s="85"/>
      <c r="H602" s="88"/>
      <c r="I602" s="89">
        <v>195</v>
      </c>
      <c r="J602" s="85"/>
      <c r="K602" s="88"/>
      <c r="L602" s="86"/>
      <c r="M602" s="86"/>
      <c r="N602" s="87"/>
      <c r="O602" s="86"/>
      <c r="P602" s="86"/>
      <c r="Q602" s="87"/>
    </row>
    <row r="603" spans="1:17" ht="24" customHeight="1">
      <c r="A603" s="91">
        <v>86</v>
      </c>
      <c r="B603" s="92"/>
      <c r="C603" s="105" t="s">
        <v>144</v>
      </c>
      <c r="D603" s="105" t="s">
        <v>165</v>
      </c>
      <c r="E603" s="94" t="s">
        <v>49</v>
      </c>
      <c r="F603" s="95" t="s">
        <v>56</v>
      </c>
      <c r="G603" s="96">
        <v>58300</v>
      </c>
      <c r="H603" s="97">
        <v>58300</v>
      </c>
      <c r="I603" s="95" t="s">
        <v>56</v>
      </c>
      <c r="J603" s="96">
        <v>68500</v>
      </c>
      <c r="K603" s="97">
        <v>68500</v>
      </c>
      <c r="L603" s="98"/>
      <c r="M603" s="98"/>
      <c r="N603" s="99"/>
      <c r="O603" s="98"/>
      <c r="P603" s="98"/>
      <c r="Q603" s="99"/>
    </row>
    <row r="604" spans="1:17" ht="14.45" customHeight="1">
      <c r="A604" s="75">
        <v>87</v>
      </c>
      <c r="B604" s="76"/>
      <c r="C604" s="103" t="s">
        <v>146</v>
      </c>
      <c r="D604" s="103" t="s">
        <v>165</v>
      </c>
      <c r="E604" s="78" t="s">
        <v>49</v>
      </c>
      <c r="F604" s="79" t="s">
        <v>50</v>
      </c>
      <c r="G604" s="79" t="s">
        <v>50</v>
      </c>
      <c r="H604" s="80" t="s">
        <v>50</v>
      </c>
      <c r="I604" s="79" t="s">
        <v>51</v>
      </c>
      <c r="J604" s="79" t="s">
        <v>51</v>
      </c>
      <c r="K604" s="80" t="s">
        <v>51</v>
      </c>
      <c r="L604" s="79"/>
      <c r="M604" s="79"/>
      <c r="N604" s="80"/>
      <c r="O604" s="79"/>
      <c r="P604" s="79"/>
      <c r="Q604" s="80"/>
    </row>
    <row r="605" spans="1:17" ht="60" customHeight="1">
      <c r="A605" s="81">
        <v>87</v>
      </c>
      <c r="B605" s="82"/>
      <c r="C605" s="104" t="s">
        <v>146</v>
      </c>
      <c r="D605" s="104" t="s">
        <v>165</v>
      </c>
      <c r="E605" s="84" t="s">
        <v>49</v>
      </c>
      <c r="F605" s="85"/>
      <c r="G605" s="86" t="s">
        <v>167</v>
      </c>
      <c r="H605" s="87" t="s">
        <v>167</v>
      </c>
      <c r="I605" s="85"/>
      <c r="J605" s="86"/>
      <c r="K605" s="87"/>
      <c r="L605" s="86"/>
      <c r="M605" s="86"/>
      <c r="N605" s="87"/>
      <c r="O605" s="86"/>
      <c r="P605" s="86"/>
      <c r="Q605" s="87"/>
    </row>
    <row r="606" spans="1:17" ht="45" customHeight="1">
      <c r="A606" s="81">
        <v>87</v>
      </c>
      <c r="B606" s="82"/>
      <c r="C606" s="104" t="s">
        <v>146</v>
      </c>
      <c r="D606" s="104" t="s">
        <v>165</v>
      </c>
      <c r="E606" s="84" t="s">
        <v>49</v>
      </c>
      <c r="F606" s="85"/>
      <c r="G606" s="85"/>
      <c r="H606" s="88"/>
      <c r="I606" s="85"/>
      <c r="J606" s="85"/>
      <c r="K606" s="88"/>
      <c r="L606" s="86"/>
      <c r="M606" s="86"/>
      <c r="N606" s="87"/>
      <c r="O606" s="86"/>
      <c r="P606" s="86"/>
      <c r="Q606" s="87"/>
    </row>
    <row r="607" spans="1:17" ht="14.45" customHeight="1">
      <c r="A607" s="81">
        <v>87</v>
      </c>
      <c r="B607" s="82"/>
      <c r="C607" s="104" t="s">
        <v>146</v>
      </c>
      <c r="D607" s="104" t="s">
        <v>165</v>
      </c>
      <c r="E607" s="84" t="s">
        <v>49</v>
      </c>
      <c r="F607" s="89">
        <v>113</v>
      </c>
      <c r="G607" s="89">
        <v>220</v>
      </c>
      <c r="H607" s="90">
        <v>42</v>
      </c>
      <c r="I607" s="89">
        <v>133</v>
      </c>
      <c r="J607" s="89">
        <v>259</v>
      </c>
      <c r="K607" s="90">
        <v>49</v>
      </c>
      <c r="L607" s="86"/>
      <c r="M607" s="86"/>
      <c r="N607" s="87"/>
      <c r="O607" s="86"/>
      <c r="P607" s="86"/>
      <c r="Q607" s="87"/>
    </row>
    <row r="608" spans="1:17" ht="45" customHeight="1">
      <c r="A608" s="81">
        <v>87</v>
      </c>
      <c r="B608" s="82"/>
      <c r="C608" s="104" t="s">
        <v>146</v>
      </c>
      <c r="D608" s="104" t="s">
        <v>165</v>
      </c>
      <c r="E608" s="84" t="s">
        <v>49</v>
      </c>
      <c r="F608" s="85"/>
      <c r="G608" s="85"/>
      <c r="H608" s="88"/>
      <c r="I608" s="85"/>
      <c r="J608" s="85"/>
      <c r="K608" s="88"/>
      <c r="L608" s="86"/>
      <c r="M608" s="86"/>
      <c r="N608" s="87"/>
      <c r="O608" s="86"/>
      <c r="P608" s="86"/>
      <c r="Q608" s="87"/>
    </row>
    <row r="609" spans="1:17" ht="14.45" customHeight="1">
      <c r="A609" s="81">
        <v>87</v>
      </c>
      <c r="B609" s="82"/>
      <c r="C609" s="104" t="s">
        <v>146</v>
      </c>
      <c r="D609" s="104" t="s">
        <v>165</v>
      </c>
      <c r="E609" s="84" t="s">
        <v>49</v>
      </c>
      <c r="F609" s="89">
        <v>166</v>
      </c>
      <c r="G609" s="85"/>
      <c r="H609" s="88"/>
      <c r="I609" s="89">
        <v>195</v>
      </c>
      <c r="J609" s="85"/>
      <c r="K609" s="88"/>
      <c r="L609" s="86"/>
      <c r="M609" s="86"/>
      <c r="N609" s="87"/>
      <c r="O609" s="86"/>
      <c r="P609" s="86"/>
      <c r="Q609" s="87"/>
    </row>
    <row r="610" spans="1:17" ht="24" customHeight="1">
      <c r="A610" s="91">
        <v>87</v>
      </c>
      <c r="B610" s="92"/>
      <c r="C610" s="105" t="s">
        <v>146</v>
      </c>
      <c r="D610" s="105" t="s">
        <v>165</v>
      </c>
      <c r="E610" s="94" t="s">
        <v>49</v>
      </c>
      <c r="F610" s="95" t="s">
        <v>56</v>
      </c>
      <c r="G610" s="96">
        <v>58600</v>
      </c>
      <c r="H610" s="97">
        <v>58600</v>
      </c>
      <c r="I610" s="95" t="s">
        <v>56</v>
      </c>
      <c r="J610" s="96">
        <v>68900</v>
      </c>
      <c r="K610" s="97">
        <v>68900</v>
      </c>
      <c r="L610" s="98"/>
      <c r="M610" s="98"/>
      <c r="N610" s="99"/>
      <c r="O610" s="98"/>
      <c r="P610" s="98"/>
      <c r="Q610" s="99"/>
    </row>
    <row r="611" spans="1:17" ht="14.45" customHeight="1">
      <c r="A611" s="75">
        <v>88</v>
      </c>
      <c r="B611" s="76"/>
      <c r="C611" s="103" t="s">
        <v>145</v>
      </c>
      <c r="D611" s="103" t="s">
        <v>165</v>
      </c>
      <c r="E611" s="78" t="s">
        <v>49</v>
      </c>
      <c r="F611" s="79" t="s">
        <v>50</v>
      </c>
      <c r="G611" s="79" t="s">
        <v>50</v>
      </c>
      <c r="H611" s="80" t="s">
        <v>50</v>
      </c>
      <c r="I611" s="79" t="s">
        <v>51</v>
      </c>
      <c r="J611" s="79" t="s">
        <v>51</v>
      </c>
      <c r="K611" s="80" t="s">
        <v>51</v>
      </c>
      <c r="L611" s="79"/>
      <c r="M611" s="79"/>
      <c r="N611" s="80"/>
      <c r="O611" s="79"/>
      <c r="P611" s="79"/>
      <c r="Q611" s="80"/>
    </row>
    <row r="612" spans="1:17" ht="60" customHeight="1">
      <c r="A612" s="81">
        <v>88</v>
      </c>
      <c r="B612" s="82"/>
      <c r="C612" s="104" t="s">
        <v>145</v>
      </c>
      <c r="D612" s="104" t="s">
        <v>165</v>
      </c>
      <c r="E612" s="84" t="s">
        <v>49</v>
      </c>
      <c r="F612" s="85"/>
      <c r="G612" s="86" t="s">
        <v>167</v>
      </c>
      <c r="H612" s="87" t="s">
        <v>167</v>
      </c>
      <c r="I612" s="85"/>
      <c r="J612" s="86"/>
      <c r="K612" s="87"/>
      <c r="L612" s="86"/>
      <c r="M612" s="86"/>
      <c r="N612" s="87"/>
      <c r="O612" s="86"/>
      <c r="P612" s="86"/>
      <c r="Q612" s="87"/>
    </row>
    <row r="613" spans="1:17" ht="45" customHeight="1">
      <c r="A613" s="81">
        <v>88</v>
      </c>
      <c r="B613" s="82"/>
      <c r="C613" s="104" t="s">
        <v>145</v>
      </c>
      <c r="D613" s="104" t="s">
        <v>165</v>
      </c>
      <c r="E613" s="84" t="s">
        <v>49</v>
      </c>
      <c r="F613" s="85"/>
      <c r="G613" s="85"/>
      <c r="H613" s="88"/>
      <c r="I613" s="85"/>
      <c r="J613" s="85"/>
      <c r="K613" s="88"/>
      <c r="L613" s="86"/>
      <c r="M613" s="86"/>
      <c r="N613" s="87"/>
      <c r="O613" s="86"/>
      <c r="P613" s="86"/>
      <c r="Q613" s="87"/>
    </row>
    <row r="614" spans="1:17" ht="14.45" customHeight="1">
      <c r="A614" s="81">
        <v>88</v>
      </c>
      <c r="B614" s="82"/>
      <c r="C614" s="104" t="s">
        <v>145</v>
      </c>
      <c r="D614" s="104" t="s">
        <v>165</v>
      </c>
      <c r="E614" s="84" t="s">
        <v>49</v>
      </c>
      <c r="F614" s="89">
        <v>113</v>
      </c>
      <c r="G614" s="89">
        <v>220</v>
      </c>
      <c r="H614" s="90">
        <v>42</v>
      </c>
      <c r="I614" s="89">
        <v>133</v>
      </c>
      <c r="J614" s="89">
        <v>259</v>
      </c>
      <c r="K614" s="90">
        <v>49</v>
      </c>
      <c r="L614" s="86"/>
      <c r="M614" s="86"/>
      <c r="N614" s="87"/>
      <c r="O614" s="86"/>
      <c r="P614" s="86"/>
      <c r="Q614" s="87"/>
    </row>
    <row r="615" spans="1:17" ht="45" customHeight="1">
      <c r="A615" s="81">
        <v>88</v>
      </c>
      <c r="B615" s="82"/>
      <c r="C615" s="104" t="s">
        <v>145</v>
      </c>
      <c r="D615" s="104" t="s">
        <v>165</v>
      </c>
      <c r="E615" s="84" t="s">
        <v>49</v>
      </c>
      <c r="F615" s="85"/>
      <c r="G615" s="85"/>
      <c r="H615" s="88"/>
      <c r="I615" s="85"/>
      <c r="J615" s="85"/>
      <c r="K615" s="88"/>
      <c r="L615" s="86"/>
      <c r="M615" s="86"/>
      <c r="N615" s="87"/>
      <c r="O615" s="86"/>
      <c r="P615" s="86"/>
      <c r="Q615" s="87"/>
    </row>
    <row r="616" spans="1:17" ht="14.45" customHeight="1">
      <c r="A616" s="81">
        <v>88</v>
      </c>
      <c r="B616" s="82"/>
      <c r="C616" s="104" t="s">
        <v>145</v>
      </c>
      <c r="D616" s="104" t="s">
        <v>165</v>
      </c>
      <c r="E616" s="84" t="s">
        <v>49</v>
      </c>
      <c r="F616" s="89">
        <v>166</v>
      </c>
      <c r="G616" s="85"/>
      <c r="H616" s="88"/>
      <c r="I616" s="89">
        <v>195</v>
      </c>
      <c r="J616" s="85"/>
      <c r="K616" s="88"/>
      <c r="L616" s="86"/>
      <c r="M616" s="86"/>
      <c r="N616" s="87"/>
      <c r="O616" s="86"/>
      <c r="P616" s="86"/>
      <c r="Q616" s="87"/>
    </row>
    <row r="617" spans="1:17" ht="24" customHeight="1">
      <c r="A617" s="91">
        <v>88</v>
      </c>
      <c r="B617" s="92"/>
      <c r="C617" s="105" t="s">
        <v>145</v>
      </c>
      <c r="D617" s="105" t="s">
        <v>165</v>
      </c>
      <c r="E617" s="94" t="s">
        <v>49</v>
      </c>
      <c r="F617" s="95" t="s">
        <v>56</v>
      </c>
      <c r="G617" s="96">
        <v>58600</v>
      </c>
      <c r="H617" s="97">
        <v>58600</v>
      </c>
      <c r="I617" s="95" t="s">
        <v>56</v>
      </c>
      <c r="J617" s="96">
        <v>68900</v>
      </c>
      <c r="K617" s="97">
        <v>68900</v>
      </c>
      <c r="L617" s="98"/>
      <c r="M617" s="98"/>
      <c r="N617" s="99"/>
      <c r="O617" s="98"/>
      <c r="P617" s="98"/>
      <c r="Q617" s="99"/>
    </row>
    <row r="618" spans="1:17" ht="14.45" customHeight="1">
      <c r="A618" s="75">
        <v>89</v>
      </c>
      <c r="B618" s="76"/>
      <c r="C618" s="103" t="s">
        <v>147</v>
      </c>
      <c r="D618" s="103" t="s">
        <v>165</v>
      </c>
      <c r="E618" s="78" t="s">
        <v>49</v>
      </c>
      <c r="F618" s="79" t="s">
        <v>50</v>
      </c>
      <c r="G618" s="79" t="s">
        <v>50</v>
      </c>
      <c r="H618" s="80" t="s">
        <v>50</v>
      </c>
      <c r="I618" s="79" t="s">
        <v>51</v>
      </c>
      <c r="J618" s="79" t="s">
        <v>51</v>
      </c>
      <c r="K618" s="80" t="s">
        <v>51</v>
      </c>
      <c r="L618" s="79"/>
      <c r="M618" s="79"/>
      <c r="N618" s="80"/>
      <c r="O618" s="79"/>
      <c r="P618" s="79"/>
      <c r="Q618" s="80"/>
    </row>
    <row r="619" spans="1:17" ht="60" customHeight="1">
      <c r="A619" s="81">
        <v>89</v>
      </c>
      <c r="B619" s="82"/>
      <c r="C619" s="104" t="s">
        <v>147</v>
      </c>
      <c r="D619" s="104" t="s">
        <v>165</v>
      </c>
      <c r="E619" s="84" t="s">
        <v>49</v>
      </c>
      <c r="F619" s="85"/>
      <c r="G619" s="86" t="s">
        <v>167</v>
      </c>
      <c r="H619" s="87" t="s">
        <v>167</v>
      </c>
      <c r="I619" s="85"/>
      <c r="J619" s="86"/>
      <c r="K619" s="87"/>
      <c r="L619" s="86"/>
      <c r="M619" s="86"/>
      <c r="N619" s="87"/>
      <c r="O619" s="86"/>
      <c r="P619" s="86"/>
      <c r="Q619" s="87"/>
    </row>
    <row r="620" spans="1:17" ht="45" customHeight="1">
      <c r="A620" s="81">
        <v>89</v>
      </c>
      <c r="B620" s="82"/>
      <c r="C620" s="104" t="s">
        <v>147</v>
      </c>
      <c r="D620" s="104" t="s">
        <v>165</v>
      </c>
      <c r="E620" s="84" t="s">
        <v>49</v>
      </c>
      <c r="F620" s="85"/>
      <c r="G620" s="85"/>
      <c r="H620" s="88"/>
      <c r="I620" s="85"/>
      <c r="J620" s="85"/>
      <c r="K620" s="88"/>
      <c r="L620" s="86"/>
      <c r="M620" s="86"/>
      <c r="N620" s="87"/>
      <c r="O620" s="86"/>
      <c r="P620" s="86"/>
      <c r="Q620" s="87"/>
    </row>
    <row r="621" spans="1:17" ht="14.45" customHeight="1">
      <c r="A621" s="81">
        <v>89</v>
      </c>
      <c r="B621" s="82"/>
      <c r="C621" s="104" t="s">
        <v>147</v>
      </c>
      <c r="D621" s="104" t="s">
        <v>165</v>
      </c>
      <c r="E621" s="84" t="s">
        <v>49</v>
      </c>
      <c r="F621" s="89">
        <v>113</v>
      </c>
      <c r="G621" s="89">
        <v>220</v>
      </c>
      <c r="H621" s="90">
        <v>42</v>
      </c>
      <c r="I621" s="89">
        <v>133</v>
      </c>
      <c r="J621" s="89">
        <v>259</v>
      </c>
      <c r="K621" s="90">
        <v>49</v>
      </c>
      <c r="L621" s="86"/>
      <c r="M621" s="86"/>
      <c r="N621" s="87"/>
      <c r="O621" s="86"/>
      <c r="P621" s="86"/>
      <c r="Q621" s="87"/>
    </row>
    <row r="622" spans="1:17" ht="45" customHeight="1">
      <c r="A622" s="81">
        <v>89</v>
      </c>
      <c r="B622" s="82"/>
      <c r="C622" s="104" t="s">
        <v>147</v>
      </c>
      <c r="D622" s="104" t="s">
        <v>165</v>
      </c>
      <c r="E622" s="84" t="s">
        <v>49</v>
      </c>
      <c r="F622" s="85"/>
      <c r="G622" s="85"/>
      <c r="H622" s="88"/>
      <c r="I622" s="85"/>
      <c r="J622" s="85"/>
      <c r="K622" s="88"/>
      <c r="L622" s="86"/>
      <c r="M622" s="86"/>
      <c r="N622" s="87"/>
      <c r="O622" s="86"/>
      <c r="P622" s="86"/>
      <c r="Q622" s="87"/>
    </row>
    <row r="623" spans="1:17" ht="14.45" customHeight="1">
      <c r="A623" s="81">
        <v>89</v>
      </c>
      <c r="B623" s="82"/>
      <c r="C623" s="104" t="s">
        <v>147</v>
      </c>
      <c r="D623" s="104" t="s">
        <v>165</v>
      </c>
      <c r="E623" s="84" t="s">
        <v>49</v>
      </c>
      <c r="F623" s="89">
        <v>166</v>
      </c>
      <c r="G623" s="85"/>
      <c r="H623" s="88"/>
      <c r="I623" s="89">
        <v>195</v>
      </c>
      <c r="J623" s="85"/>
      <c r="K623" s="88"/>
      <c r="L623" s="86"/>
      <c r="M623" s="86"/>
      <c r="N623" s="87"/>
      <c r="O623" s="86"/>
      <c r="P623" s="86"/>
      <c r="Q623" s="87"/>
    </row>
    <row r="624" spans="1:17" ht="24" customHeight="1">
      <c r="A624" s="91">
        <v>89</v>
      </c>
      <c r="B624" s="92"/>
      <c r="C624" s="105" t="s">
        <v>147</v>
      </c>
      <c r="D624" s="105" t="s">
        <v>165</v>
      </c>
      <c r="E624" s="94" t="s">
        <v>49</v>
      </c>
      <c r="F624" s="95" t="s">
        <v>56</v>
      </c>
      <c r="G624" s="96">
        <v>58600</v>
      </c>
      <c r="H624" s="97">
        <v>58600</v>
      </c>
      <c r="I624" s="95" t="s">
        <v>56</v>
      </c>
      <c r="J624" s="96">
        <v>68900</v>
      </c>
      <c r="K624" s="97">
        <v>68900</v>
      </c>
      <c r="L624" s="98"/>
      <c r="M624" s="98"/>
      <c r="N624" s="99"/>
      <c r="O624" s="98"/>
      <c r="P624" s="98"/>
      <c r="Q624" s="99"/>
    </row>
    <row r="625" spans="1:17" ht="14.45" customHeight="1">
      <c r="A625" s="75">
        <v>90</v>
      </c>
      <c r="B625" s="76"/>
      <c r="C625" s="103" t="s">
        <v>140</v>
      </c>
      <c r="D625" s="103" t="s">
        <v>165</v>
      </c>
      <c r="E625" s="78" t="s">
        <v>79</v>
      </c>
      <c r="F625" s="79" t="s">
        <v>50</v>
      </c>
      <c r="G625" s="79" t="s">
        <v>50</v>
      </c>
      <c r="H625" s="80" t="s">
        <v>50</v>
      </c>
      <c r="I625" s="79" t="s">
        <v>51</v>
      </c>
      <c r="J625" s="79" t="s">
        <v>51</v>
      </c>
      <c r="K625" s="80" t="s">
        <v>51</v>
      </c>
      <c r="L625" s="79"/>
      <c r="M625" s="79"/>
      <c r="N625" s="80"/>
      <c r="O625" s="79"/>
      <c r="P625" s="79"/>
      <c r="Q625" s="80"/>
    </row>
    <row r="626" spans="1:17" ht="60" customHeight="1">
      <c r="A626" s="81">
        <v>90</v>
      </c>
      <c r="B626" s="82"/>
      <c r="C626" s="104" t="s">
        <v>140</v>
      </c>
      <c r="D626" s="104" t="s">
        <v>165</v>
      </c>
      <c r="E626" s="84" t="s">
        <v>79</v>
      </c>
      <c r="F626" s="85"/>
      <c r="G626" s="86" t="s">
        <v>167</v>
      </c>
      <c r="H626" s="87" t="s">
        <v>167</v>
      </c>
      <c r="I626" s="85"/>
      <c r="J626" s="86"/>
      <c r="K626" s="87"/>
      <c r="L626" s="86"/>
      <c r="M626" s="86"/>
      <c r="N626" s="87"/>
      <c r="O626" s="86"/>
      <c r="P626" s="86"/>
      <c r="Q626" s="87"/>
    </row>
    <row r="627" spans="1:17" ht="45" customHeight="1">
      <c r="A627" s="81">
        <v>90</v>
      </c>
      <c r="B627" s="82"/>
      <c r="C627" s="104" t="s">
        <v>140</v>
      </c>
      <c r="D627" s="104" t="s">
        <v>165</v>
      </c>
      <c r="E627" s="84" t="s">
        <v>79</v>
      </c>
      <c r="F627" s="85"/>
      <c r="G627" s="85"/>
      <c r="H627" s="88"/>
      <c r="I627" s="85"/>
      <c r="J627" s="85"/>
      <c r="K627" s="88"/>
      <c r="L627" s="86"/>
      <c r="M627" s="86"/>
      <c r="N627" s="87"/>
      <c r="O627" s="86"/>
      <c r="P627" s="86"/>
      <c r="Q627" s="87"/>
    </row>
    <row r="628" spans="1:17" ht="14.45" customHeight="1">
      <c r="A628" s="81">
        <v>90</v>
      </c>
      <c r="B628" s="82"/>
      <c r="C628" s="104" t="s">
        <v>140</v>
      </c>
      <c r="D628" s="104" t="s">
        <v>165</v>
      </c>
      <c r="E628" s="84" t="s">
        <v>79</v>
      </c>
      <c r="F628" s="89">
        <v>103</v>
      </c>
      <c r="G628" s="89">
        <v>201</v>
      </c>
      <c r="H628" s="90">
        <v>31</v>
      </c>
      <c r="I628" s="89">
        <v>124</v>
      </c>
      <c r="J628" s="89">
        <v>241</v>
      </c>
      <c r="K628" s="90">
        <v>37</v>
      </c>
      <c r="L628" s="86"/>
      <c r="M628" s="86"/>
      <c r="N628" s="87"/>
      <c r="O628" s="86"/>
      <c r="P628" s="86"/>
      <c r="Q628" s="87"/>
    </row>
    <row r="629" spans="1:17" ht="45" customHeight="1">
      <c r="A629" s="81">
        <v>90</v>
      </c>
      <c r="B629" s="82"/>
      <c r="C629" s="104" t="s">
        <v>140</v>
      </c>
      <c r="D629" s="104" t="s">
        <v>165</v>
      </c>
      <c r="E629" s="84" t="s">
        <v>79</v>
      </c>
      <c r="F629" s="85"/>
      <c r="G629" s="85"/>
      <c r="H629" s="88"/>
      <c r="I629" s="85"/>
      <c r="J629" s="85"/>
      <c r="K629" s="88"/>
      <c r="L629" s="86"/>
      <c r="M629" s="86"/>
      <c r="N629" s="87"/>
      <c r="O629" s="86"/>
      <c r="P629" s="86"/>
      <c r="Q629" s="87"/>
    </row>
    <row r="630" spans="1:17" ht="14.45" customHeight="1">
      <c r="A630" s="81">
        <v>90</v>
      </c>
      <c r="B630" s="82"/>
      <c r="C630" s="104" t="s">
        <v>140</v>
      </c>
      <c r="D630" s="104" t="s">
        <v>165</v>
      </c>
      <c r="E630" s="84" t="s">
        <v>79</v>
      </c>
      <c r="F630" s="89">
        <v>153</v>
      </c>
      <c r="G630" s="85"/>
      <c r="H630" s="88"/>
      <c r="I630" s="89">
        <v>184</v>
      </c>
      <c r="J630" s="85"/>
      <c r="K630" s="88"/>
      <c r="L630" s="86"/>
      <c r="M630" s="86"/>
      <c r="N630" s="87"/>
      <c r="O630" s="86"/>
      <c r="P630" s="86"/>
      <c r="Q630" s="87"/>
    </row>
    <row r="631" spans="1:17" ht="24" customHeight="1">
      <c r="A631" s="91">
        <v>90</v>
      </c>
      <c r="B631" s="92"/>
      <c r="C631" s="105" t="s">
        <v>140</v>
      </c>
      <c r="D631" s="105" t="s">
        <v>165</v>
      </c>
      <c r="E631" s="94" t="s">
        <v>79</v>
      </c>
      <c r="F631" s="95" t="s">
        <v>56</v>
      </c>
      <c r="G631" s="96">
        <v>51600</v>
      </c>
      <c r="H631" s="97">
        <v>51600</v>
      </c>
      <c r="I631" s="95" t="s">
        <v>56</v>
      </c>
      <c r="J631" s="96">
        <v>61900</v>
      </c>
      <c r="K631" s="97">
        <v>61900</v>
      </c>
      <c r="L631" s="98"/>
      <c r="M631" s="98"/>
      <c r="N631" s="99"/>
      <c r="O631" s="98"/>
      <c r="P631" s="98"/>
      <c r="Q631" s="99"/>
    </row>
    <row r="632" spans="1:17" ht="14.45" customHeight="1">
      <c r="A632" s="75">
        <v>91</v>
      </c>
      <c r="B632" s="76"/>
      <c r="C632" s="103" t="s">
        <v>150</v>
      </c>
      <c r="D632" s="103" t="s">
        <v>165</v>
      </c>
      <c r="E632" s="78" t="s">
        <v>82</v>
      </c>
      <c r="F632" s="79" t="s">
        <v>50</v>
      </c>
      <c r="G632" s="79" t="s">
        <v>50</v>
      </c>
      <c r="H632" s="80" t="s">
        <v>50</v>
      </c>
      <c r="I632" s="79" t="s">
        <v>51</v>
      </c>
      <c r="J632" s="79" t="s">
        <v>51</v>
      </c>
      <c r="K632" s="80" t="s">
        <v>51</v>
      </c>
      <c r="L632" s="79"/>
      <c r="M632" s="79"/>
      <c r="N632" s="80"/>
      <c r="O632" s="79"/>
      <c r="P632" s="79"/>
      <c r="Q632" s="80"/>
    </row>
    <row r="633" spans="1:17" ht="60" customHeight="1">
      <c r="A633" s="81">
        <v>91</v>
      </c>
      <c r="B633" s="82"/>
      <c r="C633" s="104" t="s">
        <v>150</v>
      </c>
      <c r="D633" s="104" t="s">
        <v>165</v>
      </c>
      <c r="E633" s="84" t="s">
        <v>82</v>
      </c>
      <c r="F633" s="85"/>
      <c r="G633" s="86" t="s">
        <v>168</v>
      </c>
      <c r="H633" s="87" t="s">
        <v>168</v>
      </c>
      <c r="I633" s="85"/>
      <c r="J633" s="86"/>
      <c r="K633" s="87"/>
      <c r="L633" s="86"/>
      <c r="M633" s="86"/>
      <c r="N633" s="87"/>
      <c r="O633" s="86"/>
      <c r="P633" s="86"/>
      <c r="Q633" s="87"/>
    </row>
    <row r="634" spans="1:17" ht="45" customHeight="1">
      <c r="A634" s="81">
        <v>91</v>
      </c>
      <c r="B634" s="82"/>
      <c r="C634" s="104" t="s">
        <v>150</v>
      </c>
      <c r="D634" s="104" t="s">
        <v>165</v>
      </c>
      <c r="E634" s="84" t="s">
        <v>82</v>
      </c>
      <c r="F634" s="85"/>
      <c r="G634" s="85"/>
      <c r="H634" s="88"/>
      <c r="I634" s="85"/>
      <c r="J634" s="85"/>
      <c r="K634" s="88"/>
      <c r="L634" s="86"/>
      <c r="M634" s="86"/>
      <c r="N634" s="87"/>
      <c r="O634" s="86"/>
      <c r="P634" s="86"/>
      <c r="Q634" s="87"/>
    </row>
    <row r="635" spans="1:17" ht="14.45" customHeight="1">
      <c r="A635" s="81">
        <v>91</v>
      </c>
      <c r="B635" s="82"/>
      <c r="C635" s="104" t="s">
        <v>150</v>
      </c>
      <c r="D635" s="104" t="s">
        <v>165</v>
      </c>
      <c r="E635" s="84" t="s">
        <v>82</v>
      </c>
      <c r="F635" s="89">
        <v>116</v>
      </c>
      <c r="G635" s="89">
        <v>182</v>
      </c>
      <c r="H635" s="90">
        <v>28</v>
      </c>
      <c r="I635" s="89">
        <v>146</v>
      </c>
      <c r="J635" s="89">
        <v>230</v>
      </c>
      <c r="K635" s="90">
        <v>35</v>
      </c>
      <c r="L635" s="86"/>
      <c r="M635" s="86"/>
      <c r="N635" s="87"/>
      <c r="O635" s="86"/>
      <c r="P635" s="86"/>
      <c r="Q635" s="87"/>
    </row>
    <row r="636" spans="1:17" ht="45" customHeight="1">
      <c r="A636" s="81">
        <v>91</v>
      </c>
      <c r="B636" s="82"/>
      <c r="C636" s="104" t="s">
        <v>150</v>
      </c>
      <c r="D636" s="104" t="s">
        <v>165</v>
      </c>
      <c r="E636" s="84" t="s">
        <v>82</v>
      </c>
      <c r="F636" s="85"/>
      <c r="G636" s="85"/>
      <c r="H636" s="88"/>
      <c r="I636" s="85"/>
      <c r="J636" s="85"/>
      <c r="K636" s="88"/>
      <c r="L636" s="86"/>
      <c r="M636" s="86"/>
      <c r="N636" s="87"/>
      <c r="O636" s="86"/>
      <c r="P636" s="86"/>
      <c r="Q636" s="87"/>
    </row>
    <row r="637" spans="1:17" ht="14.45" customHeight="1">
      <c r="A637" s="81">
        <v>91</v>
      </c>
      <c r="B637" s="82"/>
      <c r="C637" s="104" t="s">
        <v>150</v>
      </c>
      <c r="D637" s="104" t="s">
        <v>165</v>
      </c>
      <c r="E637" s="84" t="s">
        <v>82</v>
      </c>
      <c r="F637" s="89">
        <v>137</v>
      </c>
      <c r="G637" s="85"/>
      <c r="H637" s="88"/>
      <c r="I637" s="89">
        <v>173</v>
      </c>
      <c r="J637" s="85"/>
      <c r="K637" s="88"/>
      <c r="L637" s="86"/>
      <c r="M637" s="86"/>
      <c r="N637" s="87"/>
      <c r="O637" s="86"/>
      <c r="P637" s="86"/>
      <c r="Q637" s="87"/>
    </row>
    <row r="638" spans="1:17" ht="24" customHeight="1">
      <c r="A638" s="91">
        <v>91</v>
      </c>
      <c r="B638" s="92"/>
      <c r="C638" s="105" t="s">
        <v>150</v>
      </c>
      <c r="D638" s="105" t="s">
        <v>165</v>
      </c>
      <c r="E638" s="94" t="s">
        <v>82</v>
      </c>
      <c r="F638" s="95" t="s">
        <v>56</v>
      </c>
      <c r="G638" s="96">
        <v>48200</v>
      </c>
      <c r="H638" s="97">
        <v>48200</v>
      </c>
      <c r="I638" s="95" t="s">
        <v>56</v>
      </c>
      <c r="J638" s="96">
        <v>60700</v>
      </c>
      <c r="K638" s="97">
        <v>60700</v>
      </c>
      <c r="L638" s="98"/>
      <c r="M638" s="98"/>
      <c r="N638" s="99"/>
      <c r="O638" s="98"/>
      <c r="P638" s="98"/>
      <c r="Q638" s="99"/>
    </row>
    <row r="639" spans="1:17" ht="14.45" customHeight="1">
      <c r="A639" s="75">
        <v>92</v>
      </c>
      <c r="B639" s="76"/>
      <c r="C639" s="103" t="s">
        <v>149</v>
      </c>
      <c r="D639" s="103" t="s">
        <v>165</v>
      </c>
      <c r="E639" s="78" t="s">
        <v>82</v>
      </c>
      <c r="F639" s="79" t="s">
        <v>50</v>
      </c>
      <c r="G639" s="79" t="s">
        <v>50</v>
      </c>
      <c r="H639" s="80" t="s">
        <v>50</v>
      </c>
      <c r="I639" s="79" t="s">
        <v>51</v>
      </c>
      <c r="J639" s="79" t="s">
        <v>51</v>
      </c>
      <c r="K639" s="80" t="s">
        <v>51</v>
      </c>
      <c r="L639" s="79"/>
      <c r="M639" s="79"/>
      <c r="N639" s="80"/>
      <c r="O639" s="79"/>
      <c r="P639" s="79"/>
      <c r="Q639" s="80"/>
    </row>
    <row r="640" spans="1:17" ht="60" customHeight="1">
      <c r="A640" s="81">
        <v>92</v>
      </c>
      <c r="B640" s="82"/>
      <c r="C640" s="104" t="s">
        <v>149</v>
      </c>
      <c r="D640" s="104" t="s">
        <v>165</v>
      </c>
      <c r="E640" s="84" t="s">
        <v>82</v>
      </c>
      <c r="F640" s="85"/>
      <c r="G640" s="86" t="s">
        <v>168</v>
      </c>
      <c r="H640" s="87" t="s">
        <v>168</v>
      </c>
      <c r="I640" s="85"/>
      <c r="J640" s="86"/>
      <c r="K640" s="87"/>
      <c r="L640" s="86"/>
      <c r="M640" s="86"/>
      <c r="N640" s="87"/>
      <c r="O640" s="86"/>
      <c r="P640" s="86"/>
      <c r="Q640" s="87"/>
    </row>
    <row r="641" spans="1:17" ht="45" customHeight="1">
      <c r="A641" s="81">
        <v>92</v>
      </c>
      <c r="B641" s="82"/>
      <c r="C641" s="104" t="s">
        <v>149</v>
      </c>
      <c r="D641" s="104" t="s">
        <v>165</v>
      </c>
      <c r="E641" s="84" t="s">
        <v>82</v>
      </c>
      <c r="F641" s="85"/>
      <c r="G641" s="85"/>
      <c r="H641" s="88"/>
      <c r="I641" s="85"/>
      <c r="J641" s="85"/>
      <c r="K641" s="88"/>
      <c r="L641" s="86"/>
      <c r="M641" s="86"/>
      <c r="N641" s="87"/>
      <c r="O641" s="86"/>
      <c r="P641" s="86"/>
      <c r="Q641" s="87"/>
    </row>
    <row r="642" spans="1:17" ht="14.45" customHeight="1">
      <c r="A642" s="81">
        <v>92</v>
      </c>
      <c r="B642" s="82"/>
      <c r="C642" s="104" t="s">
        <v>149</v>
      </c>
      <c r="D642" s="104" t="s">
        <v>165</v>
      </c>
      <c r="E642" s="84" t="s">
        <v>82</v>
      </c>
      <c r="F642" s="89">
        <v>116</v>
      </c>
      <c r="G642" s="89">
        <v>182</v>
      </c>
      <c r="H642" s="90">
        <v>28</v>
      </c>
      <c r="I642" s="89">
        <v>146</v>
      </c>
      <c r="J642" s="89">
        <v>230</v>
      </c>
      <c r="K642" s="90">
        <v>35</v>
      </c>
      <c r="L642" s="86"/>
      <c r="M642" s="86"/>
      <c r="N642" s="87"/>
      <c r="O642" s="86"/>
      <c r="P642" s="86"/>
      <c r="Q642" s="87"/>
    </row>
    <row r="643" spans="1:17" ht="45" customHeight="1">
      <c r="A643" s="81">
        <v>92</v>
      </c>
      <c r="B643" s="82"/>
      <c r="C643" s="104" t="s">
        <v>149</v>
      </c>
      <c r="D643" s="104" t="s">
        <v>165</v>
      </c>
      <c r="E643" s="84" t="s">
        <v>82</v>
      </c>
      <c r="F643" s="85"/>
      <c r="G643" s="85"/>
      <c r="H643" s="88"/>
      <c r="I643" s="85"/>
      <c r="J643" s="85"/>
      <c r="K643" s="88"/>
      <c r="L643" s="86"/>
      <c r="M643" s="86"/>
      <c r="N643" s="87"/>
      <c r="O643" s="86"/>
      <c r="P643" s="86"/>
      <c r="Q643" s="87"/>
    </row>
    <row r="644" spans="1:17" ht="14.45" customHeight="1">
      <c r="A644" s="81">
        <v>92</v>
      </c>
      <c r="B644" s="82"/>
      <c r="C644" s="104" t="s">
        <v>149</v>
      </c>
      <c r="D644" s="104" t="s">
        <v>165</v>
      </c>
      <c r="E644" s="84" t="s">
        <v>82</v>
      </c>
      <c r="F644" s="89">
        <v>137</v>
      </c>
      <c r="G644" s="85"/>
      <c r="H644" s="88"/>
      <c r="I644" s="89">
        <v>173</v>
      </c>
      <c r="J644" s="85"/>
      <c r="K644" s="88"/>
      <c r="L644" s="86"/>
      <c r="M644" s="86"/>
      <c r="N644" s="87"/>
      <c r="O644" s="86"/>
      <c r="P644" s="86"/>
      <c r="Q644" s="87"/>
    </row>
    <row r="645" spans="1:17" ht="24" customHeight="1">
      <c r="A645" s="91">
        <v>92</v>
      </c>
      <c r="B645" s="92"/>
      <c r="C645" s="105" t="s">
        <v>149</v>
      </c>
      <c r="D645" s="105" t="s">
        <v>165</v>
      </c>
      <c r="E645" s="94" t="s">
        <v>82</v>
      </c>
      <c r="F645" s="95" t="s">
        <v>56</v>
      </c>
      <c r="G645" s="96">
        <v>48200</v>
      </c>
      <c r="H645" s="97">
        <v>48200</v>
      </c>
      <c r="I645" s="95" t="s">
        <v>56</v>
      </c>
      <c r="J645" s="96">
        <v>60700</v>
      </c>
      <c r="K645" s="97">
        <v>60700</v>
      </c>
      <c r="L645" s="98"/>
      <c r="M645" s="98"/>
      <c r="N645" s="99"/>
      <c r="O645" s="98"/>
      <c r="P645" s="98"/>
      <c r="Q645" s="99"/>
    </row>
    <row r="646" spans="1:17" ht="14.45" customHeight="1">
      <c r="A646" s="75">
        <v>93</v>
      </c>
      <c r="B646" s="76"/>
      <c r="C646" s="103" t="s">
        <v>152</v>
      </c>
      <c r="D646" s="103" t="s">
        <v>165</v>
      </c>
      <c r="E646" s="78" t="s">
        <v>98</v>
      </c>
      <c r="F646" s="79" t="s">
        <v>50</v>
      </c>
      <c r="G646" s="79" t="s">
        <v>50</v>
      </c>
      <c r="H646" s="80" t="s">
        <v>50</v>
      </c>
      <c r="I646" s="79" t="s">
        <v>51</v>
      </c>
      <c r="J646" s="79" t="s">
        <v>51</v>
      </c>
      <c r="K646" s="80" t="s">
        <v>51</v>
      </c>
      <c r="L646" s="79"/>
      <c r="M646" s="79"/>
      <c r="N646" s="80"/>
      <c r="O646" s="79"/>
      <c r="P646" s="79"/>
      <c r="Q646" s="80"/>
    </row>
    <row r="647" spans="1:17" ht="60" customHeight="1">
      <c r="A647" s="81">
        <v>93</v>
      </c>
      <c r="B647" s="82"/>
      <c r="C647" s="104" t="s">
        <v>152</v>
      </c>
      <c r="D647" s="104" t="s">
        <v>165</v>
      </c>
      <c r="E647" s="84" t="s">
        <v>98</v>
      </c>
      <c r="F647" s="85"/>
      <c r="G647" s="86" t="s">
        <v>169</v>
      </c>
      <c r="H647" s="87" t="s">
        <v>169</v>
      </c>
      <c r="I647" s="85"/>
      <c r="J647" s="86"/>
      <c r="K647" s="87"/>
      <c r="L647" s="86"/>
      <c r="M647" s="86"/>
      <c r="N647" s="87"/>
      <c r="O647" s="86"/>
      <c r="P647" s="86"/>
      <c r="Q647" s="87"/>
    </row>
    <row r="648" spans="1:17" ht="45" customHeight="1">
      <c r="A648" s="81">
        <v>93</v>
      </c>
      <c r="B648" s="82"/>
      <c r="C648" s="104" t="s">
        <v>152</v>
      </c>
      <c r="D648" s="104" t="s">
        <v>165</v>
      </c>
      <c r="E648" s="84" t="s">
        <v>98</v>
      </c>
      <c r="F648" s="85"/>
      <c r="G648" s="85"/>
      <c r="H648" s="88"/>
      <c r="I648" s="85"/>
      <c r="J648" s="85"/>
      <c r="K648" s="88"/>
      <c r="L648" s="86"/>
      <c r="M648" s="86"/>
      <c r="N648" s="87"/>
      <c r="O648" s="86"/>
      <c r="P648" s="86"/>
      <c r="Q648" s="87"/>
    </row>
    <row r="649" spans="1:17" ht="14.45" customHeight="1">
      <c r="A649" s="81">
        <v>93</v>
      </c>
      <c r="B649" s="82"/>
      <c r="C649" s="104" t="s">
        <v>152</v>
      </c>
      <c r="D649" s="104" t="s">
        <v>165</v>
      </c>
      <c r="E649" s="84" t="s">
        <v>98</v>
      </c>
      <c r="F649" s="89">
        <v>137</v>
      </c>
      <c r="G649" s="89">
        <v>268</v>
      </c>
      <c r="H649" s="90">
        <v>26</v>
      </c>
      <c r="I649" s="89">
        <v>174</v>
      </c>
      <c r="J649" s="89">
        <v>338</v>
      </c>
      <c r="K649" s="90">
        <v>33</v>
      </c>
      <c r="L649" s="86"/>
      <c r="M649" s="86"/>
      <c r="N649" s="87"/>
      <c r="O649" s="86"/>
      <c r="P649" s="86"/>
      <c r="Q649" s="87"/>
    </row>
    <row r="650" spans="1:17" ht="45" customHeight="1">
      <c r="A650" s="81">
        <v>93</v>
      </c>
      <c r="B650" s="82"/>
      <c r="C650" s="104" t="s">
        <v>152</v>
      </c>
      <c r="D650" s="104" t="s">
        <v>165</v>
      </c>
      <c r="E650" s="84" t="s">
        <v>98</v>
      </c>
      <c r="F650" s="85"/>
      <c r="G650" s="85"/>
      <c r="H650" s="88"/>
      <c r="I650" s="85"/>
      <c r="J650" s="85"/>
      <c r="K650" s="88"/>
      <c r="L650" s="86"/>
      <c r="M650" s="86"/>
      <c r="N650" s="87"/>
      <c r="O650" s="86"/>
      <c r="P650" s="86"/>
      <c r="Q650" s="87"/>
    </row>
    <row r="651" spans="1:17" ht="14.45" customHeight="1">
      <c r="A651" s="81">
        <v>93</v>
      </c>
      <c r="B651" s="82"/>
      <c r="C651" s="104" t="s">
        <v>152</v>
      </c>
      <c r="D651" s="104" t="s">
        <v>165</v>
      </c>
      <c r="E651" s="84" t="s">
        <v>98</v>
      </c>
      <c r="F651" s="85"/>
      <c r="G651" s="85"/>
      <c r="H651" s="88"/>
      <c r="I651" s="85"/>
      <c r="J651" s="85"/>
      <c r="K651" s="88"/>
      <c r="L651" s="86"/>
      <c r="M651" s="86"/>
      <c r="N651" s="87"/>
      <c r="O651" s="86"/>
      <c r="P651" s="86"/>
      <c r="Q651" s="87"/>
    </row>
    <row r="652" spans="1:17" ht="24" customHeight="1">
      <c r="A652" s="91">
        <v>93</v>
      </c>
      <c r="B652" s="92"/>
      <c r="C652" s="105" t="s">
        <v>152</v>
      </c>
      <c r="D652" s="105" t="s">
        <v>165</v>
      </c>
      <c r="E652" s="94" t="s">
        <v>98</v>
      </c>
      <c r="F652" s="95" t="s">
        <v>56</v>
      </c>
      <c r="G652" s="96">
        <v>45000</v>
      </c>
      <c r="H652" s="97">
        <v>45000</v>
      </c>
      <c r="I652" s="95" t="s">
        <v>56</v>
      </c>
      <c r="J652" s="96">
        <v>56800</v>
      </c>
      <c r="K652" s="97">
        <v>56800</v>
      </c>
      <c r="L652" s="98"/>
      <c r="M652" s="98"/>
      <c r="N652" s="99"/>
      <c r="O652" s="98"/>
      <c r="P652" s="98"/>
      <c r="Q652" s="99"/>
    </row>
    <row r="653" spans="1:17" ht="14.45" customHeight="1">
      <c r="A653" s="75">
        <v>94</v>
      </c>
      <c r="B653" s="76"/>
      <c r="C653" s="103" t="s">
        <v>151</v>
      </c>
      <c r="D653" s="103" t="s">
        <v>165</v>
      </c>
      <c r="E653" s="78" t="s">
        <v>82</v>
      </c>
      <c r="F653" s="79" t="s">
        <v>50</v>
      </c>
      <c r="G653" s="79" t="s">
        <v>50</v>
      </c>
      <c r="H653" s="80" t="s">
        <v>50</v>
      </c>
      <c r="I653" s="79" t="s">
        <v>51</v>
      </c>
      <c r="J653" s="79" t="s">
        <v>51</v>
      </c>
      <c r="K653" s="80" t="s">
        <v>51</v>
      </c>
      <c r="L653" s="79"/>
      <c r="M653" s="79"/>
      <c r="N653" s="80"/>
      <c r="O653" s="79"/>
      <c r="P653" s="79"/>
      <c r="Q653" s="80"/>
    </row>
    <row r="654" spans="1:17" ht="60" customHeight="1">
      <c r="A654" s="81">
        <v>94</v>
      </c>
      <c r="B654" s="82"/>
      <c r="C654" s="104" t="s">
        <v>151</v>
      </c>
      <c r="D654" s="104" t="s">
        <v>165</v>
      </c>
      <c r="E654" s="84" t="s">
        <v>82</v>
      </c>
      <c r="F654" s="85"/>
      <c r="G654" s="86" t="s">
        <v>170</v>
      </c>
      <c r="H654" s="87" t="s">
        <v>170</v>
      </c>
      <c r="I654" s="85"/>
      <c r="J654" s="86"/>
      <c r="K654" s="87"/>
      <c r="L654" s="86"/>
      <c r="M654" s="86"/>
      <c r="N654" s="87"/>
      <c r="O654" s="86"/>
      <c r="P654" s="86"/>
      <c r="Q654" s="87"/>
    </row>
    <row r="655" spans="1:17" ht="45" customHeight="1">
      <c r="A655" s="81">
        <v>94</v>
      </c>
      <c r="B655" s="82"/>
      <c r="C655" s="104" t="s">
        <v>151</v>
      </c>
      <c r="D655" s="104" t="s">
        <v>165</v>
      </c>
      <c r="E655" s="84" t="s">
        <v>82</v>
      </c>
      <c r="F655" s="85"/>
      <c r="G655" s="85"/>
      <c r="H655" s="88"/>
      <c r="I655" s="85"/>
      <c r="J655" s="85"/>
      <c r="K655" s="88"/>
      <c r="L655" s="86"/>
      <c r="M655" s="86"/>
      <c r="N655" s="87"/>
      <c r="O655" s="86"/>
      <c r="P655" s="86"/>
      <c r="Q655" s="87"/>
    </row>
    <row r="656" spans="1:17" ht="14.45" customHeight="1">
      <c r="A656" s="81">
        <v>94</v>
      </c>
      <c r="B656" s="82"/>
      <c r="C656" s="104" t="s">
        <v>151</v>
      </c>
      <c r="D656" s="104" t="s">
        <v>165</v>
      </c>
      <c r="E656" s="84" t="s">
        <v>82</v>
      </c>
      <c r="F656" s="89">
        <v>93</v>
      </c>
      <c r="G656" s="89">
        <v>182</v>
      </c>
      <c r="H656" s="90">
        <v>35</v>
      </c>
      <c r="I656" s="89">
        <v>118</v>
      </c>
      <c r="J656" s="89">
        <v>230</v>
      </c>
      <c r="K656" s="90">
        <v>44</v>
      </c>
      <c r="L656" s="86"/>
      <c r="M656" s="86"/>
      <c r="N656" s="87"/>
      <c r="O656" s="86"/>
      <c r="P656" s="86"/>
      <c r="Q656" s="87"/>
    </row>
    <row r="657" spans="1:17" ht="45" customHeight="1">
      <c r="A657" s="81">
        <v>94</v>
      </c>
      <c r="B657" s="82"/>
      <c r="C657" s="104" t="s">
        <v>151</v>
      </c>
      <c r="D657" s="104" t="s">
        <v>165</v>
      </c>
      <c r="E657" s="84" t="s">
        <v>82</v>
      </c>
      <c r="F657" s="85"/>
      <c r="G657" s="85"/>
      <c r="H657" s="88"/>
      <c r="I657" s="85"/>
      <c r="J657" s="85"/>
      <c r="K657" s="88"/>
      <c r="L657" s="86"/>
      <c r="M657" s="86"/>
      <c r="N657" s="87"/>
      <c r="O657" s="86"/>
      <c r="P657" s="86"/>
      <c r="Q657" s="87"/>
    </row>
    <row r="658" spans="1:17" ht="14.45" customHeight="1">
      <c r="A658" s="81">
        <v>94</v>
      </c>
      <c r="B658" s="82"/>
      <c r="C658" s="104" t="s">
        <v>151</v>
      </c>
      <c r="D658" s="104" t="s">
        <v>165</v>
      </c>
      <c r="E658" s="84" t="s">
        <v>82</v>
      </c>
      <c r="F658" s="89">
        <v>137</v>
      </c>
      <c r="G658" s="85"/>
      <c r="H658" s="88"/>
      <c r="I658" s="89">
        <v>173</v>
      </c>
      <c r="J658" s="85"/>
      <c r="K658" s="88"/>
      <c r="L658" s="86"/>
      <c r="M658" s="86"/>
      <c r="N658" s="87"/>
      <c r="O658" s="86"/>
      <c r="P658" s="86"/>
      <c r="Q658" s="87"/>
    </row>
    <row r="659" spans="1:17" ht="24" customHeight="1">
      <c r="A659" s="91">
        <v>94</v>
      </c>
      <c r="B659" s="92"/>
      <c r="C659" s="105" t="s">
        <v>151</v>
      </c>
      <c r="D659" s="105" t="s">
        <v>165</v>
      </c>
      <c r="E659" s="94" t="s">
        <v>82</v>
      </c>
      <c r="F659" s="95" t="s">
        <v>56</v>
      </c>
      <c r="G659" s="96">
        <v>48500</v>
      </c>
      <c r="H659" s="97">
        <v>48500</v>
      </c>
      <c r="I659" s="95" t="s">
        <v>56</v>
      </c>
      <c r="J659" s="96">
        <v>61300</v>
      </c>
      <c r="K659" s="97">
        <v>61300</v>
      </c>
      <c r="L659" s="98"/>
      <c r="M659" s="98"/>
      <c r="N659" s="99"/>
      <c r="O659" s="98"/>
      <c r="P659" s="98"/>
      <c r="Q659" s="99"/>
    </row>
    <row r="660" spans="1:17" ht="14.45" customHeight="1">
      <c r="A660" s="75">
        <v>95</v>
      </c>
      <c r="B660" s="76"/>
      <c r="C660" s="103" t="s">
        <v>157</v>
      </c>
      <c r="D660" s="103" t="s">
        <v>165</v>
      </c>
      <c r="E660" s="78" t="s">
        <v>98</v>
      </c>
      <c r="F660" s="79" t="s">
        <v>50</v>
      </c>
      <c r="G660" s="79" t="s">
        <v>50</v>
      </c>
      <c r="H660" s="80" t="s">
        <v>50</v>
      </c>
      <c r="I660" s="79" t="s">
        <v>51</v>
      </c>
      <c r="J660" s="79" t="s">
        <v>51</v>
      </c>
      <c r="K660" s="80" t="s">
        <v>51</v>
      </c>
      <c r="L660" s="79"/>
      <c r="M660" s="79"/>
      <c r="N660" s="80"/>
      <c r="O660" s="79"/>
      <c r="P660" s="79"/>
      <c r="Q660" s="80"/>
    </row>
    <row r="661" spans="1:17" ht="60" customHeight="1">
      <c r="A661" s="81">
        <v>95</v>
      </c>
      <c r="B661" s="82"/>
      <c r="C661" s="104" t="s">
        <v>157</v>
      </c>
      <c r="D661" s="104" t="s">
        <v>165</v>
      </c>
      <c r="E661" s="84" t="s">
        <v>98</v>
      </c>
      <c r="F661" s="85"/>
      <c r="G661" s="86" t="s">
        <v>169</v>
      </c>
      <c r="H661" s="87" t="s">
        <v>169</v>
      </c>
      <c r="I661" s="85"/>
      <c r="J661" s="86"/>
      <c r="K661" s="87"/>
      <c r="L661" s="86"/>
      <c r="M661" s="86"/>
      <c r="N661" s="87"/>
      <c r="O661" s="86"/>
      <c r="P661" s="86"/>
      <c r="Q661" s="87"/>
    </row>
    <row r="662" spans="1:17" ht="45" customHeight="1">
      <c r="A662" s="81">
        <v>95</v>
      </c>
      <c r="B662" s="82"/>
      <c r="C662" s="104" t="s">
        <v>157</v>
      </c>
      <c r="D662" s="104" t="s">
        <v>165</v>
      </c>
      <c r="E662" s="84" t="s">
        <v>98</v>
      </c>
      <c r="F662" s="85"/>
      <c r="G662" s="85"/>
      <c r="H662" s="88"/>
      <c r="I662" s="85"/>
      <c r="J662" s="85"/>
      <c r="K662" s="88"/>
      <c r="L662" s="86"/>
      <c r="M662" s="86"/>
      <c r="N662" s="87"/>
      <c r="O662" s="86"/>
      <c r="P662" s="86"/>
      <c r="Q662" s="87"/>
    </row>
    <row r="663" spans="1:17" ht="14.45" customHeight="1">
      <c r="A663" s="81">
        <v>95</v>
      </c>
      <c r="B663" s="82"/>
      <c r="C663" s="104" t="s">
        <v>157</v>
      </c>
      <c r="D663" s="104" t="s">
        <v>165</v>
      </c>
      <c r="E663" s="84" t="s">
        <v>98</v>
      </c>
      <c r="F663" s="89">
        <v>87</v>
      </c>
      <c r="G663" s="89">
        <v>268</v>
      </c>
      <c r="H663" s="90">
        <v>41</v>
      </c>
      <c r="I663" s="89">
        <v>110</v>
      </c>
      <c r="J663" s="89">
        <v>338</v>
      </c>
      <c r="K663" s="90">
        <v>52</v>
      </c>
      <c r="L663" s="86"/>
      <c r="M663" s="86"/>
      <c r="N663" s="87"/>
      <c r="O663" s="86"/>
      <c r="P663" s="86"/>
      <c r="Q663" s="87"/>
    </row>
    <row r="664" spans="1:17" ht="45" customHeight="1">
      <c r="A664" s="81">
        <v>95</v>
      </c>
      <c r="B664" s="82"/>
      <c r="C664" s="104" t="s">
        <v>157</v>
      </c>
      <c r="D664" s="104" t="s">
        <v>165</v>
      </c>
      <c r="E664" s="84" t="s">
        <v>98</v>
      </c>
      <c r="F664" s="85"/>
      <c r="G664" s="85"/>
      <c r="H664" s="88"/>
      <c r="I664" s="85"/>
      <c r="J664" s="85"/>
      <c r="K664" s="88"/>
      <c r="L664" s="86"/>
      <c r="M664" s="86"/>
      <c r="N664" s="87"/>
      <c r="O664" s="86"/>
      <c r="P664" s="86"/>
      <c r="Q664" s="87"/>
    </row>
    <row r="665" spans="1:17" ht="14.45" customHeight="1">
      <c r="A665" s="81">
        <v>95</v>
      </c>
      <c r="B665" s="82"/>
      <c r="C665" s="104" t="s">
        <v>157</v>
      </c>
      <c r="D665" s="104" t="s">
        <v>165</v>
      </c>
      <c r="E665" s="84" t="s">
        <v>98</v>
      </c>
      <c r="F665" s="85"/>
      <c r="G665" s="85"/>
      <c r="H665" s="88"/>
      <c r="I665" s="85"/>
      <c r="J665" s="85"/>
      <c r="K665" s="88"/>
      <c r="L665" s="86"/>
      <c r="M665" s="86"/>
      <c r="N665" s="87"/>
      <c r="O665" s="86"/>
      <c r="P665" s="86"/>
      <c r="Q665" s="87"/>
    </row>
    <row r="666" spans="1:17" ht="24" customHeight="1">
      <c r="A666" s="91">
        <v>95</v>
      </c>
      <c r="B666" s="92"/>
      <c r="C666" s="105" t="s">
        <v>157</v>
      </c>
      <c r="D666" s="105" t="s">
        <v>165</v>
      </c>
      <c r="E666" s="94" t="s">
        <v>98</v>
      </c>
      <c r="F666" s="95" t="s">
        <v>56</v>
      </c>
      <c r="G666" s="96">
        <v>45000</v>
      </c>
      <c r="H666" s="97">
        <v>45000</v>
      </c>
      <c r="I666" s="95" t="s">
        <v>56</v>
      </c>
      <c r="J666" s="96">
        <v>56800</v>
      </c>
      <c r="K666" s="97">
        <v>56800</v>
      </c>
      <c r="L666" s="98"/>
      <c r="M666" s="98"/>
      <c r="N666" s="99"/>
      <c r="O666" s="98"/>
      <c r="P666" s="98"/>
      <c r="Q666" s="99"/>
    </row>
    <row r="667" spans="1:17" ht="14.45" customHeight="1">
      <c r="A667" s="75">
        <v>96</v>
      </c>
      <c r="B667" s="76"/>
      <c r="C667" s="103" t="s">
        <v>156</v>
      </c>
      <c r="D667" s="103" t="s">
        <v>165</v>
      </c>
      <c r="E667" s="78" t="s">
        <v>98</v>
      </c>
      <c r="F667" s="79" t="s">
        <v>50</v>
      </c>
      <c r="G667" s="79" t="s">
        <v>50</v>
      </c>
      <c r="H667" s="80" t="s">
        <v>50</v>
      </c>
      <c r="I667" s="79" t="s">
        <v>51</v>
      </c>
      <c r="J667" s="79" t="s">
        <v>51</v>
      </c>
      <c r="K667" s="80" t="s">
        <v>51</v>
      </c>
      <c r="L667" s="79"/>
      <c r="M667" s="79"/>
      <c r="N667" s="80"/>
      <c r="O667" s="79"/>
      <c r="P667" s="79"/>
      <c r="Q667" s="80"/>
    </row>
    <row r="668" spans="1:17" ht="60" customHeight="1">
      <c r="A668" s="81">
        <v>96</v>
      </c>
      <c r="B668" s="82"/>
      <c r="C668" s="104" t="s">
        <v>156</v>
      </c>
      <c r="D668" s="104" t="s">
        <v>165</v>
      </c>
      <c r="E668" s="84" t="s">
        <v>98</v>
      </c>
      <c r="F668" s="85"/>
      <c r="G668" s="86" t="s">
        <v>171</v>
      </c>
      <c r="H668" s="87" t="s">
        <v>171</v>
      </c>
      <c r="I668" s="85"/>
      <c r="J668" s="86"/>
      <c r="K668" s="87"/>
      <c r="L668" s="86"/>
      <c r="M668" s="86"/>
      <c r="N668" s="87"/>
      <c r="O668" s="86"/>
      <c r="P668" s="86"/>
      <c r="Q668" s="87"/>
    </row>
    <row r="669" spans="1:17" ht="45" customHeight="1">
      <c r="A669" s="81">
        <v>96</v>
      </c>
      <c r="B669" s="82"/>
      <c r="C669" s="104" t="s">
        <v>156</v>
      </c>
      <c r="D669" s="104" t="s">
        <v>165</v>
      </c>
      <c r="E669" s="84" t="s">
        <v>98</v>
      </c>
      <c r="F669" s="85"/>
      <c r="G669" s="85"/>
      <c r="H669" s="88"/>
      <c r="I669" s="85"/>
      <c r="J669" s="85"/>
      <c r="K669" s="88"/>
      <c r="L669" s="86"/>
      <c r="M669" s="86"/>
      <c r="N669" s="87"/>
      <c r="O669" s="86"/>
      <c r="P669" s="86"/>
      <c r="Q669" s="87"/>
    </row>
    <row r="670" spans="1:17" ht="14.45" customHeight="1">
      <c r="A670" s="81">
        <v>96</v>
      </c>
      <c r="B670" s="82"/>
      <c r="C670" s="104" t="s">
        <v>156</v>
      </c>
      <c r="D670" s="104" t="s">
        <v>165</v>
      </c>
      <c r="E670" s="84" t="s">
        <v>98</v>
      </c>
      <c r="F670" s="89">
        <v>87</v>
      </c>
      <c r="G670" s="89">
        <v>268</v>
      </c>
      <c r="H670" s="90">
        <v>41</v>
      </c>
      <c r="I670" s="89">
        <v>110</v>
      </c>
      <c r="J670" s="89">
        <v>338</v>
      </c>
      <c r="K670" s="90">
        <v>52</v>
      </c>
      <c r="L670" s="86"/>
      <c r="M670" s="86"/>
      <c r="N670" s="87"/>
      <c r="O670" s="86"/>
      <c r="P670" s="86"/>
      <c r="Q670" s="87"/>
    </row>
    <row r="671" spans="1:17" ht="45" customHeight="1">
      <c r="A671" s="81">
        <v>96</v>
      </c>
      <c r="B671" s="82"/>
      <c r="C671" s="104" t="s">
        <v>156</v>
      </c>
      <c r="D671" s="104" t="s">
        <v>165</v>
      </c>
      <c r="E671" s="84" t="s">
        <v>98</v>
      </c>
      <c r="F671" s="85"/>
      <c r="G671" s="85"/>
      <c r="H671" s="88"/>
      <c r="I671" s="85"/>
      <c r="J671" s="85"/>
      <c r="K671" s="88"/>
      <c r="L671" s="86"/>
      <c r="M671" s="86"/>
      <c r="N671" s="87"/>
      <c r="O671" s="86"/>
      <c r="P671" s="86"/>
      <c r="Q671" s="87"/>
    </row>
    <row r="672" spans="1:17" ht="14.45" customHeight="1">
      <c r="A672" s="81">
        <v>96</v>
      </c>
      <c r="B672" s="82"/>
      <c r="C672" s="104" t="s">
        <v>156</v>
      </c>
      <c r="D672" s="104" t="s">
        <v>165</v>
      </c>
      <c r="E672" s="84" t="s">
        <v>98</v>
      </c>
      <c r="F672" s="85"/>
      <c r="G672" s="85"/>
      <c r="H672" s="88"/>
      <c r="I672" s="85"/>
      <c r="J672" s="85"/>
      <c r="K672" s="88"/>
      <c r="L672" s="86"/>
      <c r="M672" s="86"/>
      <c r="N672" s="87"/>
      <c r="O672" s="86"/>
      <c r="P672" s="86"/>
      <c r="Q672" s="87"/>
    </row>
    <row r="673" spans="1:17" ht="24" customHeight="1">
      <c r="A673" s="91">
        <v>96</v>
      </c>
      <c r="B673" s="92"/>
      <c r="C673" s="105" t="s">
        <v>156</v>
      </c>
      <c r="D673" s="105" t="s">
        <v>165</v>
      </c>
      <c r="E673" s="94" t="s">
        <v>98</v>
      </c>
      <c r="F673" s="95" t="s">
        <v>56</v>
      </c>
      <c r="G673" s="96">
        <v>45000</v>
      </c>
      <c r="H673" s="97">
        <v>45000</v>
      </c>
      <c r="I673" s="95" t="s">
        <v>56</v>
      </c>
      <c r="J673" s="96">
        <v>56800</v>
      </c>
      <c r="K673" s="97">
        <v>56800</v>
      </c>
      <c r="L673" s="98"/>
      <c r="M673" s="98"/>
      <c r="N673" s="99"/>
      <c r="O673" s="98"/>
      <c r="P673" s="98"/>
      <c r="Q673" s="99"/>
    </row>
    <row r="674" spans="1:17" ht="14.45" customHeight="1">
      <c r="A674" s="75">
        <v>97</v>
      </c>
      <c r="B674" s="76"/>
      <c r="C674" s="103" t="s">
        <v>154</v>
      </c>
      <c r="D674" s="103" t="s">
        <v>165</v>
      </c>
      <c r="E674" s="78" t="s">
        <v>69</v>
      </c>
      <c r="F674" s="79" t="s">
        <v>50</v>
      </c>
      <c r="G674" s="79" t="s">
        <v>50</v>
      </c>
      <c r="H674" s="80" t="s">
        <v>50</v>
      </c>
      <c r="I674" s="79" t="s">
        <v>51</v>
      </c>
      <c r="J674" s="79" t="s">
        <v>51</v>
      </c>
      <c r="K674" s="80" t="s">
        <v>51</v>
      </c>
      <c r="L674" s="79"/>
      <c r="M674" s="79"/>
      <c r="N674" s="80"/>
      <c r="O674" s="79"/>
      <c r="P674" s="79"/>
      <c r="Q674" s="80"/>
    </row>
    <row r="675" spans="1:17" ht="60" customHeight="1">
      <c r="A675" s="81">
        <v>97</v>
      </c>
      <c r="B675" s="82"/>
      <c r="C675" s="104" t="s">
        <v>154</v>
      </c>
      <c r="D675" s="104" t="s">
        <v>165</v>
      </c>
      <c r="E675" s="84" t="s">
        <v>69</v>
      </c>
      <c r="F675" s="85"/>
      <c r="G675" s="86" t="s">
        <v>172</v>
      </c>
      <c r="H675" s="87" t="s">
        <v>172</v>
      </c>
      <c r="I675" s="85"/>
      <c r="J675" s="86"/>
      <c r="K675" s="87"/>
      <c r="L675" s="86"/>
      <c r="M675" s="86"/>
      <c r="N675" s="87"/>
      <c r="O675" s="86"/>
      <c r="P675" s="86"/>
      <c r="Q675" s="87"/>
    </row>
    <row r="676" spans="1:17" ht="45" customHeight="1">
      <c r="A676" s="81">
        <v>97</v>
      </c>
      <c r="B676" s="82"/>
      <c r="C676" s="104" t="s">
        <v>154</v>
      </c>
      <c r="D676" s="104" t="s">
        <v>165</v>
      </c>
      <c r="E676" s="84" t="s">
        <v>69</v>
      </c>
      <c r="F676" s="85"/>
      <c r="G676" s="85"/>
      <c r="H676" s="88"/>
      <c r="I676" s="85"/>
      <c r="J676" s="85"/>
      <c r="K676" s="88"/>
      <c r="L676" s="86"/>
      <c r="M676" s="86"/>
      <c r="N676" s="87"/>
      <c r="O676" s="86"/>
      <c r="P676" s="86"/>
      <c r="Q676" s="87"/>
    </row>
    <row r="677" spans="1:17" ht="14.45" customHeight="1">
      <c r="A677" s="81">
        <v>97</v>
      </c>
      <c r="B677" s="82"/>
      <c r="C677" s="104" t="s">
        <v>154</v>
      </c>
      <c r="D677" s="104" t="s">
        <v>165</v>
      </c>
      <c r="E677" s="84" t="s">
        <v>69</v>
      </c>
      <c r="F677" s="89">
        <v>121</v>
      </c>
      <c r="G677" s="89">
        <v>36</v>
      </c>
      <c r="H677" s="90">
        <v>169</v>
      </c>
      <c r="I677" s="89">
        <v>46</v>
      </c>
      <c r="J677" s="89">
        <v>153</v>
      </c>
      <c r="K677" s="90">
        <v>213</v>
      </c>
      <c r="L677" s="86"/>
      <c r="M677" s="86"/>
      <c r="N677" s="87"/>
      <c r="O677" s="86"/>
      <c r="P677" s="86"/>
      <c r="Q677" s="87"/>
    </row>
    <row r="678" spans="1:17" ht="45" customHeight="1">
      <c r="A678" s="81">
        <v>97</v>
      </c>
      <c r="B678" s="82"/>
      <c r="C678" s="104" t="s">
        <v>154</v>
      </c>
      <c r="D678" s="104" t="s">
        <v>165</v>
      </c>
      <c r="E678" s="84" t="s">
        <v>69</v>
      </c>
      <c r="F678" s="85"/>
      <c r="G678" s="85"/>
      <c r="H678" s="88"/>
      <c r="I678" s="85"/>
      <c r="J678" s="85"/>
      <c r="K678" s="88"/>
      <c r="L678" s="86"/>
      <c r="M678" s="86"/>
      <c r="N678" s="87"/>
      <c r="O678" s="86"/>
      <c r="P678" s="86"/>
      <c r="Q678" s="87"/>
    </row>
    <row r="679" spans="1:17" ht="14.45" customHeight="1">
      <c r="A679" s="81">
        <v>97</v>
      </c>
      <c r="B679" s="82"/>
      <c r="C679" s="104" t="s">
        <v>154</v>
      </c>
      <c r="D679" s="104" t="s">
        <v>165</v>
      </c>
      <c r="E679" s="84" t="s">
        <v>69</v>
      </c>
      <c r="F679" s="85"/>
      <c r="G679" s="85"/>
      <c r="H679" s="88"/>
      <c r="I679" s="85"/>
      <c r="J679" s="85"/>
      <c r="K679" s="88"/>
      <c r="L679" s="86"/>
      <c r="M679" s="86"/>
      <c r="N679" s="87"/>
      <c r="O679" s="86"/>
      <c r="P679" s="86"/>
      <c r="Q679" s="87"/>
    </row>
    <row r="680" spans="1:17" ht="24" customHeight="1">
      <c r="A680" s="91">
        <v>97</v>
      </c>
      <c r="B680" s="92"/>
      <c r="C680" s="105" t="s">
        <v>154</v>
      </c>
      <c r="D680" s="105" t="s">
        <v>165</v>
      </c>
      <c r="E680" s="94" t="s">
        <v>69</v>
      </c>
      <c r="F680" s="95" t="s">
        <v>56</v>
      </c>
      <c r="G680" s="96">
        <v>35700</v>
      </c>
      <c r="H680" s="97">
        <v>35700</v>
      </c>
      <c r="I680" s="95" t="s">
        <v>56</v>
      </c>
      <c r="J680" s="96">
        <v>45200</v>
      </c>
      <c r="K680" s="97">
        <v>45200</v>
      </c>
      <c r="L680" s="98"/>
      <c r="M680" s="98"/>
      <c r="N680" s="99"/>
      <c r="O680" s="98"/>
      <c r="P680" s="98"/>
      <c r="Q680" s="99"/>
    </row>
    <row r="681" spans="1:17" ht="14.45" customHeight="1">
      <c r="A681" s="75">
        <v>98</v>
      </c>
      <c r="B681" s="76"/>
      <c r="C681" s="103" t="s">
        <v>155</v>
      </c>
      <c r="D681" s="103" t="s">
        <v>165</v>
      </c>
      <c r="E681" s="78" t="s">
        <v>69</v>
      </c>
      <c r="F681" s="79" t="s">
        <v>50</v>
      </c>
      <c r="G681" s="79" t="s">
        <v>50</v>
      </c>
      <c r="H681" s="80" t="s">
        <v>50</v>
      </c>
      <c r="I681" s="79" t="s">
        <v>51</v>
      </c>
      <c r="J681" s="79" t="s">
        <v>51</v>
      </c>
      <c r="K681" s="80" t="s">
        <v>51</v>
      </c>
      <c r="L681" s="79"/>
      <c r="M681" s="79"/>
      <c r="N681" s="80"/>
      <c r="O681" s="79"/>
      <c r="P681" s="79"/>
      <c r="Q681" s="80"/>
    </row>
    <row r="682" spans="1:17" ht="60" customHeight="1">
      <c r="A682" s="81">
        <v>98</v>
      </c>
      <c r="B682" s="82"/>
      <c r="C682" s="104" t="s">
        <v>155</v>
      </c>
      <c r="D682" s="104" t="s">
        <v>165</v>
      </c>
      <c r="E682" s="84" t="s">
        <v>69</v>
      </c>
      <c r="F682" s="85"/>
      <c r="G682" s="86" t="s">
        <v>173</v>
      </c>
      <c r="H682" s="87" t="s">
        <v>173</v>
      </c>
      <c r="I682" s="85"/>
      <c r="J682" s="86"/>
      <c r="K682" s="87"/>
      <c r="L682" s="86"/>
      <c r="M682" s="86"/>
      <c r="N682" s="87"/>
      <c r="O682" s="86"/>
      <c r="P682" s="86"/>
      <c r="Q682" s="87"/>
    </row>
    <row r="683" spans="1:17" ht="45" customHeight="1">
      <c r="A683" s="81">
        <v>98</v>
      </c>
      <c r="B683" s="82"/>
      <c r="C683" s="104" t="s">
        <v>155</v>
      </c>
      <c r="D683" s="104" t="s">
        <v>165</v>
      </c>
      <c r="E683" s="84" t="s">
        <v>69</v>
      </c>
      <c r="F683" s="85"/>
      <c r="G683" s="85"/>
      <c r="H683" s="88"/>
      <c r="I683" s="85"/>
      <c r="J683" s="85"/>
      <c r="K683" s="88"/>
      <c r="L683" s="86"/>
      <c r="M683" s="86"/>
      <c r="N683" s="87"/>
      <c r="O683" s="86"/>
      <c r="P683" s="86"/>
      <c r="Q683" s="87"/>
    </row>
    <row r="684" spans="1:17" ht="14.45" customHeight="1">
      <c r="A684" s="81">
        <v>98</v>
      </c>
      <c r="B684" s="82"/>
      <c r="C684" s="104" t="s">
        <v>155</v>
      </c>
      <c r="D684" s="104" t="s">
        <v>165</v>
      </c>
      <c r="E684" s="84" t="s">
        <v>69</v>
      </c>
      <c r="F684" s="89">
        <v>121</v>
      </c>
      <c r="G684" s="89">
        <v>36</v>
      </c>
      <c r="H684" s="90">
        <v>169</v>
      </c>
      <c r="I684" s="89">
        <v>46</v>
      </c>
      <c r="J684" s="89">
        <v>153</v>
      </c>
      <c r="K684" s="90">
        <v>213</v>
      </c>
      <c r="L684" s="86"/>
      <c r="M684" s="86"/>
      <c r="N684" s="87"/>
      <c r="O684" s="86"/>
      <c r="P684" s="86"/>
      <c r="Q684" s="87"/>
    </row>
    <row r="685" spans="1:17" ht="45" customHeight="1">
      <c r="A685" s="81">
        <v>98</v>
      </c>
      <c r="B685" s="82"/>
      <c r="C685" s="104" t="s">
        <v>155</v>
      </c>
      <c r="D685" s="104" t="s">
        <v>165</v>
      </c>
      <c r="E685" s="84" t="s">
        <v>69</v>
      </c>
      <c r="F685" s="85"/>
      <c r="G685" s="85"/>
      <c r="H685" s="88"/>
      <c r="I685" s="85"/>
      <c r="J685" s="85"/>
      <c r="K685" s="88"/>
      <c r="L685" s="86"/>
      <c r="M685" s="86"/>
      <c r="N685" s="87"/>
      <c r="O685" s="86"/>
      <c r="P685" s="86"/>
      <c r="Q685" s="87"/>
    </row>
    <row r="686" spans="1:17" ht="14.45" customHeight="1">
      <c r="A686" s="81">
        <v>98</v>
      </c>
      <c r="B686" s="82"/>
      <c r="C686" s="104" t="s">
        <v>155</v>
      </c>
      <c r="D686" s="104" t="s">
        <v>165</v>
      </c>
      <c r="E686" s="84" t="s">
        <v>69</v>
      </c>
      <c r="F686" s="85"/>
      <c r="G686" s="85"/>
      <c r="H686" s="88"/>
      <c r="I686" s="85"/>
      <c r="J686" s="85"/>
      <c r="K686" s="88"/>
      <c r="L686" s="86"/>
      <c r="M686" s="86"/>
      <c r="N686" s="87"/>
      <c r="O686" s="86"/>
      <c r="P686" s="86"/>
      <c r="Q686" s="87"/>
    </row>
    <row r="687" spans="1:17" ht="24" customHeight="1">
      <c r="A687" s="91">
        <v>98</v>
      </c>
      <c r="B687" s="92"/>
      <c r="C687" s="105" t="s">
        <v>155</v>
      </c>
      <c r="D687" s="105" t="s">
        <v>165</v>
      </c>
      <c r="E687" s="94" t="s">
        <v>69</v>
      </c>
      <c r="F687" s="95" t="s">
        <v>56</v>
      </c>
      <c r="G687" s="96">
        <v>35700</v>
      </c>
      <c r="H687" s="97">
        <v>35700</v>
      </c>
      <c r="I687" s="95" t="s">
        <v>56</v>
      </c>
      <c r="J687" s="96">
        <v>45200</v>
      </c>
      <c r="K687" s="97">
        <v>45200</v>
      </c>
      <c r="L687" s="98"/>
      <c r="M687" s="98"/>
      <c r="N687" s="99"/>
      <c r="O687" s="98"/>
      <c r="P687" s="98"/>
      <c r="Q687" s="99"/>
    </row>
    <row r="688" spans="1:17" ht="14.45" customHeight="1">
      <c r="A688" s="75">
        <v>99</v>
      </c>
      <c r="B688" s="76"/>
      <c r="C688" s="103" t="s">
        <v>153</v>
      </c>
      <c r="D688" s="103" t="s">
        <v>165</v>
      </c>
      <c r="E688" s="78" t="s">
        <v>69</v>
      </c>
      <c r="F688" s="79" t="s">
        <v>50</v>
      </c>
      <c r="G688" s="79" t="s">
        <v>50</v>
      </c>
      <c r="H688" s="80" t="s">
        <v>50</v>
      </c>
      <c r="I688" s="79" t="s">
        <v>51</v>
      </c>
      <c r="J688" s="79" t="s">
        <v>51</v>
      </c>
      <c r="K688" s="80" t="s">
        <v>51</v>
      </c>
      <c r="L688" s="79"/>
      <c r="M688" s="79"/>
      <c r="N688" s="80"/>
      <c r="O688" s="79"/>
      <c r="P688" s="79"/>
      <c r="Q688" s="80"/>
    </row>
    <row r="689" spans="1:17" ht="60" customHeight="1">
      <c r="A689" s="81">
        <v>99</v>
      </c>
      <c r="B689" s="82"/>
      <c r="C689" s="104" t="s">
        <v>153</v>
      </c>
      <c r="D689" s="104" t="s">
        <v>165</v>
      </c>
      <c r="E689" s="84" t="s">
        <v>69</v>
      </c>
      <c r="F689" s="85"/>
      <c r="G689" s="86" t="s">
        <v>174</v>
      </c>
      <c r="H689" s="87" t="s">
        <v>174</v>
      </c>
      <c r="I689" s="85"/>
      <c r="J689" s="86"/>
      <c r="K689" s="87"/>
      <c r="L689" s="86"/>
      <c r="M689" s="86"/>
      <c r="N689" s="87"/>
      <c r="O689" s="86"/>
      <c r="P689" s="86"/>
      <c r="Q689" s="87"/>
    </row>
    <row r="690" spans="1:17" ht="45" customHeight="1">
      <c r="A690" s="81">
        <v>99</v>
      </c>
      <c r="B690" s="82"/>
      <c r="C690" s="104" t="s">
        <v>153</v>
      </c>
      <c r="D690" s="104" t="s">
        <v>165</v>
      </c>
      <c r="E690" s="84" t="s">
        <v>69</v>
      </c>
      <c r="F690" s="85"/>
      <c r="G690" s="85"/>
      <c r="H690" s="88"/>
      <c r="I690" s="85"/>
      <c r="J690" s="85"/>
      <c r="K690" s="88"/>
      <c r="L690" s="86"/>
      <c r="M690" s="86"/>
      <c r="N690" s="87"/>
      <c r="O690" s="86"/>
      <c r="P690" s="86"/>
      <c r="Q690" s="87"/>
    </row>
    <row r="691" spans="1:17" ht="14.45" customHeight="1">
      <c r="A691" s="81">
        <v>99</v>
      </c>
      <c r="B691" s="82"/>
      <c r="C691" s="104" t="s">
        <v>153</v>
      </c>
      <c r="D691" s="104" t="s">
        <v>165</v>
      </c>
      <c r="E691" s="84" t="s">
        <v>69</v>
      </c>
      <c r="F691" s="89">
        <v>121</v>
      </c>
      <c r="G691" s="89">
        <v>36</v>
      </c>
      <c r="H691" s="90">
        <v>169</v>
      </c>
      <c r="I691" s="89">
        <v>46</v>
      </c>
      <c r="J691" s="89">
        <v>153</v>
      </c>
      <c r="K691" s="90">
        <v>213</v>
      </c>
      <c r="L691" s="86"/>
      <c r="M691" s="86"/>
      <c r="N691" s="87"/>
      <c r="O691" s="86"/>
      <c r="P691" s="86"/>
      <c r="Q691" s="87"/>
    </row>
    <row r="692" spans="1:17" ht="45" customHeight="1">
      <c r="A692" s="81">
        <v>99</v>
      </c>
      <c r="B692" s="82"/>
      <c r="C692" s="104" t="s">
        <v>153</v>
      </c>
      <c r="D692" s="104" t="s">
        <v>165</v>
      </c>
      <c r="E692" s="84" t="s">
        <v>69</v>
      </c>
      <c r="F692" s="85"/>
      <c r="G692" s="85"/>
      <c r="H692" s="88"/>
      <c r="I692" s="85"/>
      <c r="J692" s="85"/>
      <c r="K692" s="88"/>
      <c r="L692" s="86"/>
      <c r="M692" s="86"/>
      <c r="N692" s="87"/>
      <c r="O692" s="86"/>
      <c r="P692" s="86"/>
      <c r="Q692" s="87"/>
    </row>
    <row r="693" spans="1:17" ht="14.45" customHeight="1">
      <c r="A693" s="81">
        <v>99</v>
      </c>
      <c r="B693" s="82"/>
      <c r="C693" s="104" t="s">
        <v>153</v>
      </c>
      <c r="D693" s="104" t="s">
        <v>165</v>
      </c>
      <c r="E693" s="84" t="s">
        <v>69</v>
      </c>
      <c r="F693" s="85"/>
      <c r="G693" s="85"/>
      <c r="H693" s="88"/>
      <c r="I693" s="85"/>
      <c r="J693" s="85"/>
      <c r="K693" s="88"/>
      <c r="L693" s="86"/>
      <c r="M693" s="86"/>
      <c r="N693" s="87"/>
      <c r="O693" s="86"/>
      <c r="P693" s="86"/>
      <c r="Q693" s="87"/>
    </row>
    <row r="694" spans="1:17" ht="24" customHeight="1">
      <c r="A694" s="91">
        <v>99</v>
      </c>
      <c r="B694" s="92"/>
      <c r="C694" s="105" t="s">
        <v>153</v>
      </c>
      <c r="D694" s="105" t="s">
        <v>165</v>
      </c>
      <c r="E694" s="94" t="s">
        <v>69</v>
      </c>
      <c r="F694" s="95" t="s">
        <v>56</v>
      </c>
      <c r="G694" s="96">
        <v>35700</v>
      </c>
      <c r="H694" s="97">
        <v>35700</v>
      </c>
      <c r="I694" s="95" t="s">
        <v>56</v>
      </c>
      <c r="J694" s="96">
        <v>45200</v>
      </c>
      <c r="K694" s="97">
        <v>45200</v>
      </c>
      <c r="L694" s="98"/>
      <c r="M694" s="98"/>
      <c r="N694" s="99"/>
      <c r="O694" s="98"/>
      <c r="P694" s="98"/>
      <c r="Q694" s="99"/>
    </row>
    <row r="695" spans="1:17" ht="14.45" customHeight="1">
      <c r="A695" s="75">
        <v>100</v>
      </c>
      <c r="B695" s="76"/>
      <c r="C695" s="103" t="s">
        <v>164</v>
      </c>
      <c r="D695" s="103" t="s">
        <v>165</v>
      </c>
      <c r="E695" s="78" t="s">
        <v>109</v>
      </c>
      <c r="F695" s="79" t="s">
        <v>50</v>
      </c>
      <c r="G695" s="79" t="s">
        <v>50</v>
      </c>
      <c r="H695" s="80" t="s">
        <v>50</v>
      </c>
      <c r="I695" s="79" t="s">
        <v>51</v>
      </c>
      <c r="J695" s="79" t="s">
        <v>51</v>
      </c>
      <c r="K695" s="80" t="s">
        <v>51</v>
      </c>
      <c r="L695" s="79"/>
      <c r="M695" s="79"/>
      <c r="N695" s="80"/>
      <c r="O695" s="79"/>
      <c r="P695" s="79"/>
      <c r="Q695" s="80"/>
    </row>
    <row r="696" spans="1:17" ht="60" customHeight="1">
      <c r="A696" s="81">
        <v>100</v>
      </c>
      <c r="B696" s="82"/>
      <c r="C696" s="104" t="s">
        <v>164</v>
      </c>
      <c r="D696" s="104" t="s">
        <v>165</v>
      </c>
      <c r="E696" s="84" t="s">
        <v>109</v>
      </c>
      <c r="F696" s="85"/>
      <c r="G696" s="86" t="s">
        <v>175</v>
      </c>
      <c r="H696" s="87" t="s">
        <v>175</v>
      </c>
      <c r="I696" s="85"/>
      <c r="J696" s="86"/>
      <c r="K696" s="87"/>
      <c r="L696" s="86"/>
      <c r="M696" s="86"/>
      <c r="N696" s="87"/>
      <c r="O696" s="86"/>
      <c r="P696" s="86"/>
      <c r="Q696" s="87"/>
    </row>
    <row r="697" spans="1:17" ht="45" customHeight="1">
      <c r="A697" s="81">
        <v>100</v>
      </c>
      <c r="B697" s="82"/>
      <c r="C697" s="104" t="s">
        <v>164</v>
      </c>
      <c r="D697" s="104" t="s">
        <v>165</v>
      </c>
      <c r="E697" s="84" t="s">
        <v>109</v>
      </c>
      <c r="F697" s="85"/>
      <c r="G697" s="85"/>
      <c r="H697" s="88"/>
      <c r="I697" s="85"/>
      <c r="J697" s="85"/>
      <c r="K697" s="88"/>
      <c r="L697" s="86"/>
      <c r="M697" s="86"/>
      <c r="N697" s="87"/>
      <c r="O697" s="86"/>
      <c r="P697" s="86"/>
      <c r="Q697" s="87"/>
    </row>
    <row r="698" spans="1:17" ht="14.45" customHeight="1">
      <c r="A698" s="81">
        <v>100</v>
      </c>
      <c r="B698" s="82"/>
      <c r="C698" s="104" t="s">
        <v>164</v>
      </c>
      <c r="D698" s="104" t="s">
        <v>165</v>
      </c>
      <c r="E698" s="84" t="s">
        <v>109</v>
      </c>
      <c r="F698" s="89">
        <v>41</v>
      </c>
      <c r="G698" s="89">
        <v>125</v>
      </c>
      <c r="H698" s="90">
        <v>19</v>
      </c>
      <c r="I698" s="89">
        <v>57</v>
      </c>
      <c r="J698" s="89">
        <v>176</v>
      </c>
      <c r="K698" s="90">
        <v>27</v>
      </c>
      <c r="L698" s="86"/>
      <c r="M698" s="86"/>
      <c r="N698" s="87"/>
      <c r="O698" s="86"/>
      <c r="P698" s="86"/>
      <c r="Q698" s="87"/>
    </row>
    <row r="699" spans="1:17" ht="45" customHeight="1">
      <c r="A699" s="81">
        <v>100</v>
      </c>
      <c r="B699" s="82"/>
      <c r="C699" s="104" t="s">
        <v>164</v>
      </c>
      <c r="D699" s="104" t="s">
        <v>165</v>
      </c>
      <c r="E699" s="84" t="s">
        <v>109</v>
      </c>
      <c r="F699" s="85"/>
      <c r="G699" s="85"/>
      <c r="H699" s="88"/>
      <c r="I699" s="85"/>
      <c r="J699" s="85"/>
      <c r="K699" s="88"/>
      <c r="L699" s="86"/>
      <c r="M699" s="86"/>
      <c r="N699" s="87"/>
      <c r="O699" s="86"/>
      <c r="P699" s="86"/>
      <c r="Q699" s="87"/>
    </row>
    <row r="700" spans="1:17" ht="14.45" customHeight="1">
      <c r="A700" s="81">
        <v>100</v>
      </c>
      <c r="B700" s="82"/>
      <c r="C700" s="104" t="s">
        <v>164</v>
      </c>
      <c r="D700" s="104" t="s">
        <v>165</v>
      </c>
      <c r="E700" s="84" t="s">
        <v>109</v>
      </c>
      <c r="F700" s="85"/>
      <c r="G700" s="85"/>
      <c r="H700" s="88"/>
      <c r="I700" s="85"/>
      <c r="J700" s="85"/>
      <c r="K700" s="88"/>
      <c r="L700" s="86"/>
      <c r="M700" s="86"/>
      <c r="N700" s="87"/>
      <c r="O700" s="86"/>
      <c r="P700" s="86"/>
      <c r="Q700" s="87"/>
    </row>
    <row r="701" spans="1:17" ht="24" customHeight="1">
      <c r="A701" s="91">
        <v>100</v>
      </c>
      <c r="B701" s="92"/>
      <c r="C701" s="105" t="s">
        <v>164</v>
      </c>
      <c r="D701" s="105" t="s">
        <v>165</v>
      </c>
      <c r="E701" s="94" t="s">
        <v>109</v>
      </c>
      <c r="F701" s="95" t="s">
        <v>56</v>
      </c>
      <c r="G701" s="96">
        <v>18000</v>
      </c>
      <c r="H701" s="97">
        <v>18000</v>
      </c>
      <c r="I701" s="95" t="s">
        <v>56</v>
      </c>
      <c r="J701" s="96">
        <v>25300</v>
      </c>
      <c r="K701" s="97">
        <v>25300</v>
      </c>
      <c r="L701" s="98"/>
      <c r="M701" s="98"/>
      <c r="N701" s="99"/>
      <c r="O701" s="98"/>
      <c r="P701" s="98"/>
      <c r="Q701" s="99"/>
    </row>
    <row r="702" spans="1:17" ht="14.45" customHeight="1">
      <c r="A702" s="75">
        <v>101</v>
      </c>
      <c r="B702" s="76"/>
      <c r="C702" s="103" t="s">
        <v>176</v>
      </c>
      <c r="D702" s="103" t="s">
        <v>165</v>
      </c>
      <c r="E702" s="78" t="s">
        <v>109</v>
      </c>
      <c r="F702" s="79" t="s">
        <v>50</v>
      </c>
      <c r="G702" s="79" t="s">
        <v>50</v>
      </c>
      <c r="H702" s="80" t="s">
        <v>50</v>
      </c>
      <c r="I702" s="79"/>
      <c r="J702" s="79"/>
      <c r="K702" s="80"/>
      <c r="L702" s="79"/>
      <c r="M702" s="79"/>
      <c r="N702" s="80"/>
      <c r="O702" s="79"/>
      <c r="P702" s="79"/>
      <c r="Q702" s="80"/>
    </row>
    <row r="703" spans="1:17" ht="60" customHeight="1">
      <c r="A703" s="81">
        <v>101</v>
      </c>
      <c r="B703" s="82"/>
      <c r="C703" s="104" t="s">
        <v>176</v>
      </c>
      <c r="D703" s="104" t="s">
        <v>165</v>
      </c>
      <c r="E703" s="84" t="s">
        <v>109</v>
      </c>
      <c r="F703" s="85"/>
      <c r="G703" s="86"/>
      <c r="H703" s="87"/>
      <c r="I703" s="86"/>
      <c r="J703" s="86"/>
      <c r="K703" s="87"/>
      <c r="L703" s="86"/>
      <c r="M703" s="86"/>
      <c r="N703" s="87"/>
      <c r="O703" s="86"/>
      <c r="P703" s="86"/>
      <c r="Q703" s="87"/>
    </row>
    <row r="704" spans="1:17" ht="45" customHeight="1">
      <c r="A704" s="81">
        <v>101</v>
      </c>
      <c r="B704" s="82"/>
      <c r="C704" s="104" t="s">
        <v>176</v>
      </c>
      <c r="D704" s="104" t="s">
        <v>165</v>
      </c>
      <c r="E704" s="84" t="s">
        <v>109</v>
      </c>
      <c r="F704" s="85"/>
      <c r="G704" s="85"/>
      <c r="H704" s="88"/>
      <c r="I704" s="86"/>
      <c r="J704" s="86"/>
      <c r="K704" s="87"/>
      <c r="L704" s="86"/>
      <c r="M704" s="86"/>
      <c r="N704" s="87"/>
      <c r="O704" s="86"/>
      <c r="P704" s="86"/>
      <c r="Q704" s="87"/>
    </row>
    <row r="705" spans="1:17" ht="14.45" customHeight="1">
      <c r="A705" s="81">
        <v>101</v>
      </c>
      <c r="B705" s="82"/>
      <c r="C705" s="104" t="s">
        <v>176</v>
      </c>
      <c r="D705" s="104" t="s">
        <v>165</v>
      </c>
      <c r="E705" s="84" t="s">
        <v>109</v>
      </c>
      <c r="F705" s="89">
        <v>49</v>
      </c>
      <c r="G705" s="89">
        <v>125</v>
      </c>
      <c r="H705" s="90">
        <v>90</v>
      </c>
      <c r="I705" s="86"/>
      <c r="J705" s="86"/>
      <c r="K705" s="87"/>
      <c r="L705" s="86"/>
      <c r="M705" s="86"/>
      <c r="N705" s="87"/>
      <c r="O705" s="86"/>
      <c r="P705" s="86"/>
      <c r="Q705" s="87"/>
    </row>
    <row r="706" spans="1:17" ht="45" customHeight="1">
      <c r="A706" s="81">
        <v>101</v>
      </c>
      <c r="B706" s="82"/>
      <c r="C706" s="104" t="s">
        <v>176</v>
      </c>
      <c r="D706" s="104" t="s">
        <v>165</v>
      </c>
      <c r="E706" s="84" t="s">
        <v>109</v>
      </c>
      <c r="F706" s="85"/>
      <c r="G706" s="85"/>
      <c r="H706" s="88"/>
      <c r="I706" s="86"/>
      <c r="J706" s="86"/>
      <c r="K706" s="87"/>
      <c r="L706" s="86"/>
      <c r="M706" s="86"/>
      <c r="N706" s="87"/>
      <c r="O706" s="86"/>
      <c r="P706" s="86"/>
      <c r="Q706" s="87"/>
    </row>
    <row r="707" spans="1:17" ht="14.45" customHeight="1">
      <c r="A707" s="81">
        <v>101</v>
      </c>
      <c r="B707" s="82"/>
      <c r="C707" s="104" t="s">
        <v>176</v>
      </c>
      <c r="D707" s="104" t="s">
        <v>165</v>
      </c>
      <c r="E707" s="84" t="s">
        <v>109</v>
      </c>
      <c r="F707" s="85"/>
      <c r="G707" s="85"/>
      <c r="H707" s="88"/>
      <c r="I707" s="86"/>
      <c r="J707" s="86"/>
      <c r="K707" s="87"/>
      <c r="L707" s="86"/>
      <c r="M707" s="86"/>
      <c r="N707" s="87"/>
      <c r="O707" s="86"/>
      <c r="P707" s="86"/>
      <c r="Q707" s="87"/>
    </row>
    <row r="708" spans="1:17" ht="24" customHeight="1">
      <c r="A708" s="91">
        <v>101</v>
      </c>
      <c r="B708" s="92"/>
      <c r="C708" s="105" t="s">
        <v>176</v>
      </c>
      <c r="D708" s="105" t="s">
        <v>165</v>
      </c>
      <c r="E708" s="94" t="s">
        <v>109</v>
      </c>
      <c r="F708" s="95" t="s">
        <v>56</v>
      </c>
      <c r="G708" s="96">
        <v>6170</v>
      </c>
      <c r="H708" s="97">
        <v>6170</v>
      </c>
      <c r="I708" s="98"/>
      <c r="J708" s="98"/>
      <c r="K708" s="99"/>
      <c r="L708" s="98"/>
      <c r="M708" s="98"/>
      <c r="N708" s="99"/>
      <c r="O708" s="98"/>
      <c r="P708" s="98"/>
      <c r="Q708" s="99"/>
    </row>
    <row r="709" spans="1:17" ht="14.45" customHeight="1">
      <c r="A709" s="75">
        <v>102</v>
      </c>
      <c r="B709" s="76"/>
      <c r="C709" s="103" t="s">
        <v>177</v>
      </c>
      <c r="D709" s="103" t="s">
        <v>165</v>
      </c>
      <c r="E709" s="78" t="s">
        <v>109</v>
      </c>
      <c r="F709" s="79" t="s">
        <v>50</v>
      </c>
      <c r="G709" s="79" t="s">
        <v>50</v>
      </c>
      <c r="H709" s="80" t="s">
        <v>50</v>
      </c>
      <c r="I709" s="79"/>
      <c r="J709" s="79"/>
      <c r="K709" s="80"/>
      <c r="L709" s="79"/>
      <c r="M709" s="79"/>
      <c r="N709" s="80"/>
      <c r="O709" s="79"/>
      <c r="P709" s="79"/>
      <c r="Q709" s="80"/>
    </row>
    <row r="710" spans="1:17" ht="60" customHeight="1">
      <c r="A710" s="81">
        <v>102</v>
      </c>
      <c r="B710" s="82"/>
      <c r="C710" s="104" t="s">
        <v>177</v>
      </c>
      <c r="D710" s="104" t="s">
        <v>165</v>
      </c>
      <c r="E710" s="84" t="s">
        <v>109</v>
      </c>
      <c r="F710" s="85"/>
      <c r="G710" s="86"/>
      <c r="H710" s="87"/>
      <c r="I710" s="86"/>
      <c r="J710" s="86"/>
      <c r="K710" s="87"/>
      <c r="L710" s="86"/>
      <c r="M710" s="86"/>
      <c r="N710" s="87"/>
      <c r="O710" s="86"/>
      <c r="P710" s="86"/>
      <c r="Q710" s="87"/>
    </row>
    <row r="711" spans="1:17" ht="45" customHeight="1">
      <c r="A711" s="81">
        <v>102</v>
      </c>
      <c r="B711" s="82"/>
      <c r="C711" s="104" t="s">
        <v>177</v>
      </c>
      <c r="D711" s="104" t="s">
        <v>165</v>
      </c>
      <c r="E711" s="84" t="s">
        <v>109</v>
      </c>
      <c r="F711" s="85"/>
      <c r="G711" s="85"/>
      <c r="H711" s="88"/>
      <c r="I711" s="86"/>
      <c r="J711" s="86"/>
      <c r="K711" s="87"/>
      <c r="L711" s="86"/>
      <c r="M711" s="86"/>
      <c r="N711" s="87"/>
      <c r="O711" s="86"/>
      <c r="P711" s="86"/>
      <c r="Q711" s="87"/>
    </row>
    <row r="712" spans="1:17" ht="14.45" customHeight="1">
      <c r="A712" s="81">
        <v>102</v>
      </c>
      <c r="B712" s="82"/>
      <c r="C712" s="104" t="s">
        <v>177</v>
      </c>
      <c r="D712" s="104" t="s">
        <v>165</v>
      </c>
      <c r="E712" s="84" t="s">
        <v>109</v>
      </c>
      <c r="F712" s="89">
        <v>40</v>
      </c>
      <c r="G712" s="89">
        <v>125</v>
      </c>
      <c r="H712" s="90">
        <v>101</v>
      </c>
      <c r="I712" s="86"/>
      <c r="J712" s="86"/>
      <c r="K712" s="87"/>
      <c r="L712" s="86"/>
      <c r="M712" s="86"/>
      <c r="N712" s="87"/>
      <c r="O712" s="86"/>
      <c r="P712" s="86"/>
      <c r="Q712" s="87"/>
    </row>
    <row r="713" spans="1:17" ht="45" customHeight="1">
      <c r="A713" s="81">
        <v>102</v>
      </c>
      <c r="B713" s="82"/>
      <c r="C713" s="104" t="s">
        <v>177</v>
      </c>
      <c r="D713" s="104" t="s">
        <v>165</v>
      </c>
      <c r="E713" s="84" t="s">
        <v>109</v>
      </c>
      <c r="F713" s="85"/>
      <c r="G713" s="85"/>
      <c r="H713" s="88"/>
      <c r="I713" s="86"/>
      <c r="J713" s="86"/>
      <c r="K713" s="87"/>
      <c r="L713" s="86"/>
      <c r="M713" s="86"/>
      <c r="N713" s="87"/>
      <c r="O713" s="86"/>
      <c r="P713" s="86"/>
      <c r="Q713" s="87"/>
    </row>
    <row r="714" spans="1:17" ht="14.45" customHeight="1">
      <c r="A714" s="81">
        <v>102</v>
      </c>
      <c r="B714" s="82"/>
      <c r="C714" s="104" t="s">
        <v>177</v>
      </c>
      <c r="D714" s="104" t="s">
        <v>165</v>
      </c>
      <c r="E714" s="84" t="s">
        <v>109</v>
      </c>
      <c r="F714" s="85"/>
      <c r="G714" s="85"/>
      <c r="H714" s="88"/>
      <c r="I714" s="86"/>
      <c r="J714" s="86"/>
      <c r="K714" s="87"/>
      <c r="L714" s="86"/>
      <c r="M714" s="86"/>
      <c r="N714" s="87"/>
      <c r="O714" s="86"/>
      <c r="P714" s="86"/>
      <c r="Q714" s="87"/>
    </row>
    <row r="715" spans="1:17" ht="24" customHeight="1">
      <c r="A715" s="91">
        <v>102</v>
      </c>
      <c r="B715" s="92"/>
      <c r="C715" s="105" t="s">
        <v>177</v>
      </c>
      <c r="D715" s="105" t="s">
        <v>165</v>
      </c>
      <c r="E715" s="94" t="s">
        <v>109</v>
      </c>
      <c r="F715" s="95" t="s">
        <v>56</v>
      </c>
      <c r="G715" s="96">
        <v>6170</v>
      </c>
      <c r="H715" s="97">
        <v>6170</v>
      </c>
      <c r="I715" s="98"/>
      <c r="J715" s="98"/>
      <c r="K715" s="99"/>
      <c r="L715" s="98"/>
      <c r="M715" s="98"/>
      <c r="N715" s="99"/>
      <c r="O715" s="98"/>
      <c r="P715" s="98"/>
      <c r="Q715" s="99"/>
    </row>
    <row r="716" spans="1:17" ht="14.45" customHeight="1">
      <c r="A716" s="75">
        <v>103</v>
      </c>
      <c r="B716" s="76"/>
      <c r="C716" s="103" t="s">
        <v>163</v>
      </c>
      <c r="D716" s="103" t="s">
        <v>165</v>
      </c>
      <c r="E716" s="78" t="s">
        <v>92</v>
      </c>
      <c r="F716" s="79" t="s">
        <v>50</v>
      </c>
      <c r="G716" s="79" t="s">
        <v>50</v>
      </c>
      <c r="H716" s="80" t="s">
        <v>50</v>
      </c>
      <c r="I716" s="79" t="s">
        <v>51</v>
      </c>
      <c r="J716" s="79" t="s">
        <v>51</v>
      </c>
      <c r="K716" s="80" t="s">
        <v>51</v>
      </c>
      <c r="L716" s="79"/>
      <c r="M716" s="79"/>
      <c r="N716" s="80"/>
      <c r="O716" s="79"/>
      <c r="P716" s="79"/>
      <c r="Q716" s="80"/>
    </row>
    <row r="717" spans="1:17" ht="60" customHeight="1">
      <c r="A717" s="81">
        <v>103</v>
      </c>
      <c r="B717" s="82"/>
      <c r="C717" s="104" t="s">
        <v>163</v>
      </c>
      <c r="D717" s="104" t="s">
        <v>165</v>
      </c>
      <c r="E717" s="84" t="s">
        <v>92</v>
      </c>
      <c r="F717" s="85"/>
      <c r="G717" s="86" t="s">
        <v>178</v>
      </c>
      <c r="H717" s="87" t="s">
        <v>178</v>
      </c>
      <c r="I717" s="85"/>
      <c r="J717" s="86"/>
      <c r="K717" s="87"/>
      <c r="L717" s="86"/>
      <c r="M717" s="86"/>
      <c r="N717" s="87"/>
      <c r="O717" s="86"/>
      <c r="P717" s="86"/>
      <c r="Q717" s="87"/>
    </row>
    <row r="718" spans="1:17" ht="45" customHeight="1">
      <c r="A718" s="81">
        <v>103</v>
      </c>
      <c r="B718" s="82"/>
      <c r="C718" s="104" t="s">
        <v>163</v>
      </c>
      <c r="D718" s="104" t="s">
        <v>165</v>
      </c>
      <c r="E718" s="84" t="s">
        <v>92</v>
      </c>
      <c r="F718" s="85"/>
      <c r="G718" s="85"/>
      <c r="H718" s="88"/>
      <c r="I718" s="85"/>
      <c r="J718" s="85"/>
      <c r="K718" s="88"/>
      <c r="L718" s="86"/>
      <c r="M718" s="86"/>
      <c r="N718" s="87"/>
      <c r="O718" s="86"/>
      <c r="P718" s="86"/>
      <c r="Q718" s="87"/>
    </row>
    <row r="719" spans="1:17" ht="14.45" customHeight="1">
      <c r="A719" s="81">
        <v>103</v>
      </c>
      <c r="B719" s="82"/>
      <c r="C719" s="104" t="s">
        <v>163</v>
      </c>
      <c r="D719" s="104" t="s">
        <v>165</v>
      </c>
      <c r="E719" s="84" t="s">
        <v>92</v>
      </c>
      <c r="F719" s="89">
        <v>77</v>
      </c>
      <c r="G719" s="89">
        <v>75</v>
      </c>
      <c r="H719" s="90">
        <v>46</v>
      </c>
      <c r="I719" s="89">
        <v>104</v>
      </c>
      <c r="J719" s="89">
        <v>103</v>
      </c>
      <c r="K719" s="90">
        <v>62</v>
      </c>
      <c r="L719" s="86"/>
      <c r="M719" s="86"/>
      <c r="N719" s="87"/>
      <c r="O719" s="86"/>
      <c r="P719" s="86"/>
      <c r="Q719" s="87"/>
    </row>
    <row r="720" spans="1:17" ht="45" customHeight="1">
      <c r="A720" s="81">
        <v>103</v>
      </c>
      <c r="B720" s="82"/>
      <c r="C720" s="104" t="s">
        <v>163</v>
      </c>
      <c r="D720" s="104" t="s">
        <v>165</v>
      </c>
      <c r="E720" s="84" t="s">
        <v>92</v>
      </c>
      <c r="F720" s="85"/>
      <c r="G720" s="85"/>
      <c r="H720" s="88"/>
      <c r="I720" s="85"/>
      <c r="J720" s="85"/>
      <c r="K720" s="88"/>
      <c r="L720" s="86"/>
      <c r="M720" s="86"/>
      <c r="N720" s="87"/>
      <c r="O720" s="86"/>
      <c r="P720" s="86"/>
      <c r="Q720" s="87"/>
    </row>
    <row r="721" spans="1:17" ht="14.45" customHeight="1">
      <c r="A721" s="81">
        <v>103</v>
      </c>
      <c r="B721" s="82"/>
      <c r="C721" s="104" t="s">
        <v>163</v>
      </c>
      <c r="D721" s="104" t="s">
        <v>165</v>
      </c>
      <c r="E721" s="84" t="s">
        <v>92</v>
      </c>
      <c r="F721" s="85"/>
      <c r="G721" s="85"/>
      <c r="H721" s="88"/>
      <c r="I721" s="85"/>
      <c r="J721" s="85"/>
      <c r="K721" s="88"/>
      <c r="L721" s="86"/>
      <c r="M721" s="86"/>
      <c r="N721" s="87"/>
      <c r="O721" s="86"/>
      <c r="P721" s="86"/>
      <c r="Q721" s="87"/>
    </row>
    <row r="722" spans="1:17" ht="24" customHeight="1">
      <c r="A722" s="91">
        <v>103</v>
      </c>
      <c r="B722" s="92"/>
      <c r="C722" s="105" t="s">
        <v>163</v>
      </c>
      <c r="D722" s="105" t="s">
        <v>165</v>
      </c>
      <c r="E722" s="94" t="s">
        <v>92</v>
      </c>
      <c r="F722" s="95" t="s">
        <v>56</v>
      </c>
      <c r="G722" s="96">
        <v>8210</v>
      </c>
      <c r="H722" s="97">
        <v>8210</v>
      </c>
      <c r="I722" s="95" t="s">
        <v>56</v>
      </c>
      <c r="J722" s="96">
        <v>11100</v>
      </c>
      <c r="K722" s="97">
        <v>11100</v>
      </c>
      <c r="L722" s="98"/>
      <c r="M722" s="98"/>
      <c r="N722" s="99"/>
      <c r="O722" s="98"/>
      <c r="P722" s="98"/>
      <c r="Q722" s="99"/>
    </row>
    <row r="723" spans="1:17" ht="14.45" customHeight="1">
      <c r="A723" s="75">
        <v>104</v>
      </c>
      <c r="B723" s="76"/>
      <c r="C723" s="103" t="s">
        <v>161</v>
      </c>
      <c r="D723" s="103" t="s">
        <v>165</v>
      </c>
      <c r="E723" s="78" t="s">
        <v>92</v>
      </c>
      <c r="F723" s="79" t="s">
        <v>50</v>
      </c>
      <c r="G723" s="79" t="s">
        <v>50</v>
      </c>
      <c r="H723" s="80" t="s">
        <v>50</v>
      </c>
      <c r="I723" s="79" t="s">
        <v>51</v>
      </c>
      <c r="J723" s="79" t="s">
        <v>51</v>
      </c>
      <c r="K723" s="80" t="s">
        <v>51</v>
      </c>
      <c r="L723" s="79"/>
      <c r="M723" s="79"/>
      <c r="N723" s="80"/>
      <c r="O723" s="79"/>
      <c r="P723" s="79"/>
      <c r="Q723" s="80"/>
    </row>
    <row r="724" spans="1:17" ht="60" customHeight="1">
      <c r="A724" s="81">
        <v>104</v>
      </c>
      <c r="B724" s="82"/>
      <c r="C724" s="104" t="s">
        <v>161</v>
      </c>
      <c r="D724" s="104" t="s">
        <v>165</v>
      </c>
      <c r="E724" s="84" t="s">
        <v>92</v>
      </c>
      <c r="F724" s="85"/>
      <c r="G724" s="86" t="s">
        <v>178</v>
      </c>
      <c r="H724" s="87" t="s">
        <v>178</v>
      </c>
      <c r="I724" s="85"/>
      <c r="J724" s="86"/>
      <c r="K724" s="87"/>
      <c r="L724" s="86"/>
      <c r="M724" s="86"/>
      <c r="N724" s="87"/>
      <c r="O724" s="86"/>
      <c r="P724" s="86"/>
      <c r="Q724" s="87"/>
    </row>
    <row r="725" spans="1:17" ht="45" customHeight="1">
      <c r="A725" s="81">
        <v>104</v>
      </c>
      <c r="B725" s="82"/>
      <c r="C725" s="104" t="s">
        <v>161</v>
      </c>
      <c r="D725" s="104" t="s">
        <v>165</v>
      </c>
      <c r="E725" s="84" t="s">
        <v>92</v>
      </c>
      <c r="F725" s="85"/>
      <c r="G725" s="85"/>
      <c r="H725" s="88"/>
      <c r="I725" s="85"/>
      <c r="J725" s="85"/>
      <c r="K725" s="88"/>
      <c r="L725" s="86"/>
      <c r="M725" s="86"/>
      <c r="N725" s="87"/>
      <c r="O725" s="86"/>
      <c r="P725" s="86"/>
      <c r="Q725" s="87"/>
    </row>
    <row r="726" spans="1:17" ht="14.45" customHeight="1">
      <c r="A726" s="81">
        <v>104</v>
      </c>
      <c r="B726" s="82"/>
      <c r="C726" s="104" t="s">
        <v>161</v>
      </c>
      <c r="D726" s="104" t="s">
        <v>165</v>
      </c>
      <c r="E726" s="84" t="s">
        <v>92</v>
      </c>
      <c r="F726" s="89">
        <v>77</v>
      </c>
      <c r="G726" s="89">
        <v>75</v>
      </c>
      <c r="H726" s="90">
        <v>46</v>
      </c>
      <c r="I726" s="89">
        <v>104</v>
      </c>
      <c r="J726" s="89">
        <v>103</v>
      </c>
      <c r="K726" s="90">
        <v>62</v>
      </c>
      <c r="L726" s="86"/>
      <c r="M726" s="86"/>
      <c r="N726" s="87"/>
      <c r="O726" s="86"/>
      <c r="P726" s="86"/>
      <c r="Q726" s="87"/>
    </row>
    <row r="727" spans="1:17" ht="45" customHeight="1">
      <c r="A727" s="81">
        <v>104</v>
      </c>
      <c r="B727" s="82"/>
      <c r="C727" s="104" t="s">
        <v>161</v>
      </c>
      <c r="D727" s="104" t="s">
        <v>165</v>
      </c>
      <c r="E727" s="84" t="s">
        <v>92</v>
      </c>
      <c r="F727" s="85"/>
      <c r="G727" s="85"/>
      <c r="H727" s="88"/>
      <c r="I727" s="85"/>
      <c r="J727" s="85"/>
      <c r="K727" s="88"/>
      <c r="L727" s="86"/>
      <c r="M727" s="86"/>
      <c r="N727" s="87"/>
      <c r="O727" s="86"/>
      <c r="P727" s="86"/>
      <c r="Q727" s="87"/>
    </row>
    <row r="728" spans="1:17" ht="14.45" customHeight="1">
      <c r="A728" s="81">
        <v>104</v>
      </c>
      <c r="B728" s="82"/>
      <c r="C728" s="104" t="s">
        <v>161</v>
      </c>
      <c r="D728" s="104" t="s">
        <v>165</v>
      </c>
      <c r="E728" s="84" t="s">
        <v>92</v>
      </c>
      <c r="F728" s="85"/>
      <c r="G728" s="85"/>
      <c r="H728" s="88"/>
      <c r="I728" s="85"/>
      <c r="J728" s="85"/>
      <c r="K728" s="88"/>
      <c r="L728" s="86"/>
      <c r="M728" s="86"/>
      <c r="N728" s="87"/>
      <c r="O728" s="86"/>
      <c r="P728" s="86"/>
      <c r="Q728" s="87"/>
    </row>
    <row r="729" spans="1:17" ht="24" customHeight="1">
      <c r="A729" s="91">
        <v>104</v>
      </c>
      <c r="B729" s="92"/>
      <c r="C729" s="105" t="s">
        <v>161</v>
      </c>
      <c r="D729" s="105" t="s">
        <v>165</v>
      </c>
      <c r="E729" s="94" t="s">
        <v>92</v>
      </c>
      <c r="F729" s="95" t="s">
        <v>56</v>
      </c>
      <c r="G729" s="96">
        <v>8210</v>
      </c>
      <c r="H729" s="97">
        <v>8210</v>
      </c>
      <c r="I729" s="95" t="s">
        <v>56</v>
      </c>
      <c r="J729" s="96">
        <v>11100</v>
      </c>
      <c r="K729" s="97">
        <v>11100</v>
      </c>
      <c r="L729" s="98"/>
      <c r="M729" s="98"/>
      <c r="N729" s="99"/>
      <c r="O729" s="98"/>
      <c r="P729" s="98"/>
      <c r="Q729" s="99"/>
    </row>
    <row r="730" spans="1:17" ht="14.45" customHeight="1">
      <c r="A730" s="75">
        <v>105</v>
      </c>
      <c r="B730" s="76"/>
      <c r="C730" s="103" t="s">
        <v>162</v>
      </c>
      <c r="D730" s="103" t="s">
        <v>165</v>
      </c>
      <c r="E730" s="78" t="s">
        <v>92</v>
      </c>
      <c r="F730" s="79" t="s">
        <v>50</v>
      </c>
      <c r="G730" s="79" t="s">
        <v>50</v>
      </c>
      <c r="H730" s="80" t="s">
        <v>50</v>
      </c>
      <c r="I730" s="79" t="s">
        <v>51</v>
      </c>
      <c r="J730" s="79" t="s">
        <v>51</v>
      </c>
      <c r="K730" s="80" t="s">
        <v>51</v>
      </c>
      <c r="L730" s="79"/>
      <c r="M730" s="79"/>
      <c r="N730" s="80"/>
      <c r="O730" s="79"/>
      <c r="P730" s="79"/>
      <c r="Q730" s="80"/>
    </row>
    <row r="731" spans="1:17" ht="60" customHeight="1">
      <c r="A731" s="81">
        <v>105</v>
      </c>
      <c r="B731" s="82"/>
      <c r="C731" s="104" t="s">
        <v>162</v>
      </c>
      <c r="D731" s="104" t="s">
        <v>165</v>
      </c>
      <c r="E731" s="84" t="s">
        <v>92</v>
      </c>
      <c r="F731" s="85"/>
      <c r="G731" s="86" t="s">
        <v>178</v>
      </c>
      <c r="H731" s="87" t="s">
        <v>178</v>
      </c>
      <c r="I731" s="85"/>
      <c r="J731" s="86"/>
      <c r="K731" s="87"/>
      <c r="L731" s="86"/>
      <c r="M731" s="86"/>
      <c r="N731" s="87"/>
      <c r="O731" s="86"/>
      <c r="P731" s="86"/>
      <c r="Q731" s="87"/>
    </row>
    <row r="732" spans="1:17" ht="45" customHeight="1">
      <c r="A732" s="81">
        <v>105</v>
      </c>
      <c r="B732" s="82"/>
      <c r="C732" s="104" t="s">
        <v>162</v>
      </c>
      <c r="D732" s="104" t="s">
        <v>165</v>
      </c>
      <c r="E732" s="84" t="s">
        <v>92</v>
      </c>
      <c r="F732" s="85"/>
      <c r="G732" s="85"/>
      <c r="H732" s="88"/>
      <c r="I732" s="85"/>
      <c r="J732" s="85"/>
      <c r="K732" s="88"/>
      <c r="L732" s="86"/>
      <c r="M732" s="86"/>
      <c r="N732" s="87"/>
      <c r="O732" s="86"/>
      <c r="P732" s="86"/>
      <c r="Q732" s="87"/>
    </row>
    <row r="733" spans="1:17" ht="14.45" customHeight="1">
      <c r="A733" s="81">
        <v>105</v>
      </c>
      <c r="B733" s="82"/>
      <c r="C733" s="104" t="s">
        <v>162</v>
      </c>
      <c r="D733" s="104" t="s">
        <v>165</v>
      </c>
      <c r="E733" s="84" t="s">
        <v>92</v>
      </c>
      <c r="F733" s="89">
        <v>77</v>
      </c>
      <c r="G733" s="89">
        <v>75</v>
      </c>
      <c r="H733" s="90">
        <v>46</v>
      </c>
      <c r="I733" s="89">
        <v>104</v>
      </c>
      <c r="J733" s="89">
        <v>103</v>
      </c>
      <c r="K733" s="90">
        <v>62</v>
      </c>
      <c r="L733" s="86"/>
      <c r="M733" s="86"/>
      <c r="N733" s="87"/>
      <c r="O733" s="86"/>
      <c r="P733" s="86"/>
      <c r="Q733" s="87"/>
    </row>
    <row r="734" spans="1:17" ht="45" customHeight="1">
      <c r="A734" s="81">
        <v>105</v>
      </c>
      <c r="B734" s="82"/>
      <c r="C734" s="104" t="s">
        <v>162</v>
      </c>
      <c r="D734" s="104" t="s">
        <v>165</v>
      </c>
      <c r="E734" s="84" t="s">
        <v>92</v>
      </c>
      <c r="F734" s="85"/>
      <c r="G734" s="85"/>
      <c r="H734" s="88"/>
      <c r="I734" s="85"/>
      <c r="J734" s="85"/>
      <c r="K734" s="88"/>
      <c r="L734" s="86"/>
      <c r="M734" s="86"/>
      <c r="N734" s="87"/>
      <c r="O734" s="86"/>
      <c r="P734" s="86"/>
      <c r="Q734" s="87"/>
    </row>
    <row r="735" spans="1:17" ht="14.45" customHeight="1">
      <c r="A735" s="81">
        <v>105</v>
      </c>
      <c r="B735" s="82"/>
      <c r="C735" s="104" t="s">
        <v>162</v>
      </c>
      <c r="D735" s="104" t="s">
        <v>165</v>
      </c>
      <c r="E735" s="84" t="s">
        <v>92</v>
      </c>
      <c r="F735" s="85"/>
      <c r="G735" s="85"/>
      <c r="H735" s="88"/>
      <c r="I735" s="85"/>
      <c r="J735" s="85"/>
      <c r="K735" s="88"/>
      <c r="L735" s="86"/>
      <c r="M735" s="86"/>
      <c r="N735" s="87"/>
      <c r="O735" s="86"/>
      <c r="P735" s="86"/>
      <c r="Q735" s="87"/>
    </row>
    <row r="736" spans="1:17" ht="24" customHeight="1">
      <c r="A736" s="91">
        <v>105</v>
      </c>
      <c r="B736" s="92"/>
      <c r="C736" s="105" t="s">
        <v>162</v>
      </c>
      <c r="D736" s="105" t="s">
        <v>165</v>
      </c>
      <c r="E736" s="94" t="s">
        <v>92</v>
      </c>
      <c r="F736" s="95" t="s">
        <v>56</v>
      </c>
      <c r="G736" s="96">
        <v>8210</v>
      </c>
      <c r="H736" s="97">
        <v>8210</v>
      </c>
      <c r="I736" s="95" t="s">
        <v>56</v>
      </c>
      <c r="J736" s="96">
        <v>11100</v>
      </c>
      <c r="K736" s="97">
        <v>11100</v>
      </c>
      <c r="L736" s="98"/>
      <c r="M736" s="98"/>
      <c r="N736" s="99"/>
      <c r="O736" s="98"/>
      <c r="P736" s="98"/>
      <c r="Q736" s="99"/>
    </row>
    <row r="737" spans="1:17" ht="14.45" customHeight="1">
      <c r="A737" s="75">
        <v>106</v>
      </c>
      <c r="B737" s="76"/>
      <c r="C737" s="103" t="s">
        <v>175</v>
      </c>
      <c r="D737" s="103" t="s">
        <v>165</v>
      </c>
      <c r="E737" s="78" t="s">
        <v>109</v>
      </c>
      <c r="F737" s="79" t="s">
        <v>50</v>
      </c>
      <c r="G737" s="79" t="s">
        <v>50</v>
      </c>
      <c r="H737" s="80" t="s">
        <v>50</v>
      </c>
      <c r="I737" s="79" t="s">
        <v>51</v>
      </c>
      <c r="J737" s="79" t="s">
        <v>51</v>
      </c>
      <c r="K737" s="80" t="s">
        <v>51</v>
      </c>
      <c r="L737" s="79"/>
      <c r="M737" s="79"/>
      <c r="N737" s="80"/>
      <c r="O737" s="79"/>
      <c r="P737" s="79"/>
      <c r="Q737" s="80"/>
    </row>
    <row r="738" spans="1:17" ht="60" customHeight="1">
      <c r="A738" s="81">
        <v>106</v>
      </c>
      <c r="B738" s="82"/>
      <c r="C738" s="104" t="s">
        <v>175</v>
      </c>
      <c r="D738" s="104" t="s">
        <v>165</v>
      </c>
      <c r="E738" s="84" t="s">
        <v>109</v>
      </c>
      <c r="F738" s="85"/>
      <c r="G738" s="86" t="s">
        <v>179</v>
      </c>
      <c r="H738" s="87" t="s">
        <v>179</v>
      </c>
      <c r="I738" s="85"/>
      <c r="J738" s="86"/>
      <c r="K738" s="87"/>
      <c r="L738" s="86"/>
      <c r="M738" s="86"/>
      <c r="N738" s="87"/>
      <c r="O738" s="86"/>
      <c r="P738" s="86"/>
      <c r="Q738" s="87"/>
    </row>
    <row r="739" spans="1:17" ht="45" customHeight="1">
      <c r="A739" s="81">
        <v>106</v>
      </c>
      <c r="B739" s="82"/>
      <c r="C739" s="104" t="s">
        <v>175</v>
      </c>
      <c r="D739" s="104" t="s">
        <v>165</v>
      </c>
      <c r="E739" s="84" t="s">
        <v>109</v>
      </c>
      <c r="F739" s="85"/>
      <c r="G739" s="85"/>
      <c r="H739" s="88"/>
      <c r="I739" s="85"/>
      <c r="J739" s="85"/>
      <c r="K739" s="88"/>
      <c r="L739" s="86"/>
      <c r="M739" s="86"/>
      <c r="N739" s="87"/>
      <c r="O739" s="86"/>
      <c r="P739" s="86"/>
      <c r="Q739" s="87"/>
    </row>
    <row r="740" spans="1:17" ht="14.45" customHeight="1">
      <c r="A740" s="81">
        <v>106</v>
      </c>
      <c r="B740" s="82"/>
      <c r="C740" s="104" t="s">
        <v>175</v>
      </c>
      <c r="D740" s="104" t="s">
        <v>165</v>
      </c>
      <c r="E740" s="84" t="s">
        <v>109</v>
      </c>
      <c r="F740" s="89">
        <v>45</v>
      </c>
      <c r="G740" s="89">
        <v>81</v>
      </c>
      <c r="H740" s="88"/>
      <c r="I740" s="89">
        <v>55</v>
      </c>
      <c r="J740" s="89">
        <v>99</v>
      </c>
      <c r="K740" s="88"/>
      <c r="L740" s="86"/>
      <c r="M740" s="86"/>
      <c r="N740" s="87"/>
      <c r="O740" s="86"/>
      <c r="P740" s="86"/>
      <c r="Q740" s="87"/>
    </row>
    <row r="741" spans="1:17" ht="45" customHeight="1">
      <c r="A741" s="81">
        <v>106</v>
      </c>
      <c r="B741" s="82"/>
      <c r="C741" s="104" t="s">
        <v>175</v>
      </c>
      <c r="D741" s="104" t="s">
        <v>165</v>
      </c>
      <c r="E741" s="84" t="s">
        <v>109</v>
      </c>
      <c r="F741" s="85"/>
      <c r="G741" s="85"/>
      <c r="H741" s="88"/>
      <c r="I741" s="85"/>
      <c r="J741" s="85"/>
      <c r="K741" s="88"/>
      <c r="L741" s="86"/>
      <c r="M741" s="86"/>
      <c r="N741" s="87"/>
      <c r="O741" s="86"/>
      <c r="P741" s="86"/>
      <c r="Q741" s="87"/>
    </row>
    <row r="742" spans="1:17" ht="14.45" customHeight="1">
      <c r="A742" s="81">
        <v>106</v>
      </c>
      <c r="B742" s="82"/>
      <c r="C742" s="104" t="s">
        <v>175</v>
      </c>
      <c r="D742" s="104" t="s">
        <v>165</v>
      </c>
      <c r="E742" s="84" t="s">
        <v>109</v>
      </c>
      <c r="F742" s="85"/>
      <c r="G742" s="85"/>
      <c r="H742" s="88"/>
      <c r="I742" s="85"/>
      <c r="J742" s="85"/>
      <c r="K742" s="88"/>
      <c r="L742" s="86"/>
      <c r="M742" s="86"/>
      <c r="N742" s="87"/>
      <c r="O742" s="86"/>
      <c r="P742" s="86"/>
      <c r="Q742" s="87"/>
    </row>
    <row r="743" spans="1:17" ht="24" customHeight="1">
      <c r="A743" s="91">
        <v>106</v>
      </c>
      <c r="B743" s="92"/>
      <c r="C743" s="105" t="s">
        <v>175</v>
      </c>
      <c r="D743" s="105" t="s">
        <v>165</v>
      </c>
      <c r="E743" s="94" t="s">
        <v>109</v>
      </c>
      <c r="F743" s="95" t="s">
        <v>56</v>
      </c>
      <c r="G743" s="96">
        <v>5090</v>
      </c>
      <c r="H743" s="97">
        <v>5090</v>
      </c>
      <c r="I743" s="95" t="s">
        <v>56</v>
      </c>
      <c r="J743" s="96">
        <v>6230</v>
      </c>
      <c r="K743" s="97">
        <v>6230</v>
      </c>
      <c r="L743" s="98"/>
      <c r="M743" s="98"/>
      <c r="N743" s="99"/>
      <c r="O743" s="98"/>
      <c r="P743" s="98"/>
      <c r="Q743" s="99"/>
    </row>
    <row r="744" spans="1:17" ht="14.45" customHeight="1">
      <c r="A744" s="75">
        <v>107</v>
      </c>
      <c r="B744" s="76"/>
      <c r="C744" s="106" t="s">
        <v>168</v>
      </c>
      <c r="D744" s="106" t="s">
        <v>180</v>
      </c>
      <c r="E744" s="78" t="s">
        <v>82</v>
      </c>
      <c r="F744" s="79" t="s">
        <v>50</v>
      </c>
      <c r="G744" s="79" t="s">
        <v>50</v>
      </c>
      <c r="H744" s="80" t="s">
        <v>50</v>
      </c>
      <c r="I744" s="79" t="s">
        <v>51</v>
      </c>
      <c r="J744" s="79" t="s">
        <v>51</v>
      </c>
      <c r="K744" s="80" t="s">
        <v>51</v>
      </c>
      <c r="L744" s="79"/>
      <c r="M744" s="79"/>
      <c r="N744" s="80"/>
      <c r="O744" s="79"/>
      <c r="P744" s="79"/>
      <c r="Q744" s="80"/>
    </row>
    <row r="745" spans="1:17" ht="60" customHeight="1">
      <c r="A745" s="81">
        <v>107</v>
      </c>
      <c r="B745" s="82"/>
      <c r="C745" s="107" t="s">
        <v>168</v>
      </c>
      <c r="D745" s="107" t="s">
        <v>180</v>
      </c>
      <c r="E745" s="84" t="s">
        <v>82</v>
      </c>
      <c r="F745" s="85"/>
      <c r="G745" s="86" t="s">
        <v>181</v>
      </c>
      <c r="H745" s="87" t="s">
        <v>181</v>
      </c>
      <c r="I745" s="85"/>
      <c r="J745" s="86"/>
      <c r="K745" s="87"/>
      <c r="L745" s="86"/>
      <c r="M745" s="86"/>
      <c r="N745" s="87"/>
      <c r="O745" s="86"/>
      <c r="P745" s="86"/>
      <c r="Q745" s="87"/>
    </row>
    <row r="746" spans="1:17" ht="45" customHeight="1">
      <c r="A746" s="81">
        <v>107</v>
      </c>
      <c r="B746" s="82"/>
      <c r="C746" s="107" t="s">
        <v>168</v>
      </c>
      <c r="D746" s="107" t="s">
        <v>180</v>
      </c>
      <c r="E746" s="84" t="s">
        <v>82</v>
      </c>
      <c r="F746" s="85"/>
      <c r="G746" s="85"/>
      <c r="H746" s="88"/>
      <c r="I746" s="85"/>
      <c r="J746" s="85"/>
      <c r="K746" s="88"/>
      <c r="L746" s="86"/>
      <c r="M746" s="86"/>
      <c r="N746" s="87"/>
      <c r="O746" s="86"/>
      <c r="P746" s="86"/>
      <c r="Q746" s="87"/>
    </row>
    <row r="747" spans="1:17" ht="14.45" customHeight="1">
      <c r="A747" s="81">
        <v>107</v>
      </c>
      <c r="B747" s="82"/>
      <c r="C747" s="107" t="s">
        <v>168</v>
      </c>
      <c r="D747" s="107" t="s">
        <v>180</v>
      </c>
      <c r="E747" s="84" t="s">
        <v>82</v>
      </c>
      <c r="F747" s="89">
        <v>58</v>
      </c>
      <c r="G747" s="89">
        <v>53</v>
      </c>
      <c r="H747" s="90">
        <v>57</v>
      </c>
      <c r="I747" s="89">
        <v>75</v>
      </c>
      <c r="J747" s="89">
        <v>69</v>
      </c>
      <c r="K747" s="90">
        <v>74</v>
      </c>
      <c r="L747" s="86"/>
      <c r="M747" s="86"/>
      <c r="N747" s="87"/>
      <c r="O747" s="86"/>
      <c r="P747" s="86"/>
      <c r="Q747" s="87"/>
    </row>
    <row r="748" spans="1:17" ht="45" customHeight="1">
      <c r="A748" s="81">
        <v>107</v>
      </c>
      <c r="B748" s="82"/>
      <c r="C748" s="107" t="s">
        <v>168</v>
      </c>
      <c r="D748" s="107" t="s">
        <v>180</v>
      </c>
      <c r="E748" s="84" t="s">
        <v>82</v>
      </c>
      <c r="F748" s="85"/>
      <c r="G748" s="85"/>
      <c r="H748" s="88"/>
      <c r="I748" s="85"/>
      <c r="J748" s="85"/>
      <c r="K748" s="88"/>
      <c r="L748" s="86"/>
      <c r="M748" s="86"/>
      <c r="N748" s="87"/>
      <c r="O748" s="86"/>
      <c r="P748" s="86"/>
      <c r="Q748" s="87"/>
    </row>
    <row r="749" spans="1:17" ht="14.45" customHeight="1">
      <c r="A749" s="81">
        <v>107</v>
      </c>
      <c r="B749" s="82"/>
      <c r="C749" s="107" t="s">
        <v>168</v>
      </c>
      <c r="D749" s="107" t="s">
        <v>180</v>
      </c>
      <c r="E749" s="84" t="s">
        <v>82</v>
      </c>
      <c r="F749" s="85"/>
      <c r="G749" s="85"/>
      <c r="H749" s="88"/>
      <c r="I749" s="85"/>
      <c r="J749" s="85"/>
      <c r="K749" s="88"/>
      <c r="L749" s="86"/>
      <c r="M749" s="86"/>
      <c r="N749" s="87"/>
      <c r="O749" s="86"/>
      <c r="P749" s="86"/>
      <c r="Q749" s="87"/>
    </row>
    <row r="750" spans="1:17" ht="24" customHeight="1">
      <c r="A750" s="91">
        <v>107</v>
      </c>
      <c r="B750" s="92"/>
      <c r="C750" s="108" t="s">
        <v>168</v>
      </c>
      <c r="D750" s="108" t="s">
        <v>180</v>
      </c>
      <c r="E750" s="94" t="s">
        <v>82</v>
      </c>
      <c r="F750" s="95" t="s">
        <v>56</v>
      </c>
      <c r="G750" s="96">
        <v>7800</v>
      </c>
      <c r="H750" s="97">
        <v>7800</v>
      </c>
      <c r="I750" s="95" t="s">
        <v>56</v>
      </c>
      <c r="J750" s="96">
        <v>10110</v>
      </c>
      <c r="K750" s="97">
        <v>10110</v>
      </c>
      <c r="L750" s="98"/>
      <c r="M750" s="98"/>
      <c r="N750" s="99"/>
      <c r="O750" s="98"/>
      <c r="P750" s="98"/>
      <c r="Q750" s="99"/>
    </row>
    <row r="751" spans="1:17" ht="14.45" customHeight="1">
      <c r="A751" s="75">
        <v>108</v>
      </c>
      <c r="B751" s="76"/>
      <c r="C751" s="106" t="s">
        <v>170</v>
      </c>
      <c r="D751" s="106" t="s">
        <v>180</v>
      </c>
      <c r="E751" s="78" t="s">
        <v>82</v>
      </c>
      <c r="F751" s="79" t="s">
        <v>50</v>
      </c>
      <c r="G751" s="79" t="s">
        <v>50</v>
      </c>
      <c r="H751" s="80" t="s">
        <v>50</v>
      </c>
      <c r="I751" s="79" t="s">
        <v>51</v>
      </c>
      <c r="J751" s="79" t="s">
        <v>51</v>
      </c>
      <c r="K751" s="80" t="s">
        <v>51</v>
      </c>
      <c r="L751" s="79"/>
      <c r="M751" s="79"/>
      <c r="N751" s="80"/>
      <c r="O751" s="79"/>
      <c r="P751" s="79"/>
      <c r="Q751" s="80"/>
    </row>
    <row r="752" spans="1:17" ht="60" customHeight="1">
      <c r="A752" s="81">
        <v>108</v>
      </c>
      <c r="B752" s="82"/>
      <c r="C752" s="107" t="s">
        <v>170</v>
      </c>
      <c r="D752" s="107" t="s">
        <v>180</v>
      </c>
      <c r="E752" s="84" t="s">
        <v>82</v>
      </c>
      <c r="F752" s="85"/>
      <c r="G752" s="86" t="s">
        <v>182</v>
      </c>
      <c r="H752" s="87" t="s">
        <v>182</v>
      </c>
      <c r="I752" s="85"/>
      <c r="J752" s="86"/>
      <c r="K752" s="87"/>
      <c r="L752" s="86"/>
      <c r="M752" s="86"/>
      <c r="N752" s="87"/>
      <c r="O752" s="86"/>
      <c r="P752" s="86"/>
      <c r="Q752" s="87"/>
    </row>
    <row r="753" spans="1:17" ht="45" customHeight="1">
      <c r="A753" s="81">
        <v>108</v>
      </c>
      <c r="B753" s="82"/>
      <c r="C753" s="107" t="s">
        <v>170</v>
      </c>
      <c r="D753" s="107" t="s">
        <v>180</v>
      </c>
      <c r="E753" s="84" t="s">
        <v>82</v>
      </c>
      <c r="F753" s="85"/>
      <c r="G753" s="85"/>
      <c r="H753" s="88"/>
      <c r="I753" s="85"/>
      <c r="J753" s="85"/>
      <c r="K753" s="88"/>
      <c r="L753" s="86"/>
      <c r="M753" s="86"/>
      <c r="N753" s="87"/>
      <c r="O753" s="86"/>
      <c r="P753" s="86"/>
      <c r="Q753" s="87"/>
    </row>
    <row r="754" spans="1:17" ht="14.45" customHeight="1">
      <c r="A754" s="81">
        <v>108</v>
      </c>
      <c r="B754" s="82"/>
      <c r="C754" s="107" t="s">
        <v>170</v>
      </c>
      <c r="D754" s="107" t="s">
        <v>180</v>
      </c>
      <c r="E754" s="84" t="s">
        <v>82</v>
      </c>
      <c r="F754" s="89">
        <v>58</v>
      </c>
      <c r="G754" s="89">
        <v>53</v>
      </c>
      <c r="H754" s="90">
        <v>57</v>
      </c>
      <c r="I754" s="89">
        <v>75</v>
      </c>
      <c r="J754" s="89">
        <v>69</v>
      </c>
      <c r="K754" s="90">
        <v>74</v>
      </c>
      <c r="L754" s="86"/>
      <c r="M754" s="86"/>
      <c r="N754" s="87"/>
      <c r="O754" s="86"/>
      <c r="P754" s="86"/>
      <c r="Q754" s="87"/>
    </row>
    <row r="755" spans="1:17" ht="45" customHeight="1">
      <c r="A755" s="81">
        <v>108</v>
      </c>
      <c r="B755" s="82"/>
      <c r="C755" s="107" t="s">
        <v>170</v>
      </c>
      <c r="D755" s="107" t="s">
        <v>180</v>
      </c>
      <c r="E755" s="84" t="s">
        <v>82</v>
      </c>
      <c r="F755" s="85"/>
      <c r="G755" s="85"/>
      <c r="H755" s="88"/>
      <c r="I755" s="85"/>
      <c r="J755" s="85"/>
      <c r="K755" s="88"/>
      <c r="L755" s="86"/>
      <c r="M755" s="86"/>
      <c r="N755" s="87"/>
      <c r="O755" s="86"/>
      <c r="P755" s="86"/>
      <c r="Q755" s="87"/>
    </row>
    <row r="756" spans="1:17" ht="14.45" customHeight="1">
      <c r="A756" s="81">
        <v>108</v>
      </c>
      <c r="B756" s="82"/>
      <c r="C756" s="107" t="s">
        <v>170</v>
      </c>
      <c r="D756" s="107" t="s">
        <v>180</v>
      </c>
      <c r="E756" s="84" t="s">
        <v>82</v>
      </c>
      <c r="F756" s="85"/>
      <c r="G756" s="85"/>
      <c r="H756" s="88"/>
      <c r="I756" s="85"/>
      <c r="J756" s="85"/>
      <c r="K756" s="88"/>
      <c r="L756" s="86"/>
      <c r="M756" s="86"/>
      <c r="N756" s="87"/>
      <c r="O756" s="86"/>
      <c r="P756" s="86"/>
      <c r="Q756" s="87"/>
    </row>
    <row r="757" spans="1:17" ht="24" customHeight="1">
      <c r="A757" s="91">
        <v>108</v>
      </c>
      <c r="B757" s="92"/>
      <c r="C757" s="108" t="s">
        <v>170</v>
      </c>
      <c r="D757" s="108" t="s">
        <v>180</v>
      </c>
      <c r="E757" s="94" t="s">
        <v>82</v>
      </c>
      <c r="F757" s="95" t="s">
        <v>56</v>
      </c>
      <c r="G757" s="96">
        <v>7800</v>
      </c>
      <c r="H757" s="97">
        <v>7800</v>
      </c>
      <c r="I757" s="95" t="s">
        <v>56</v>
      </c>
      <c r="J757" s="96">
        <v>10110</v>
      </c>
      <c r="K757" s="97">
        <v>10110</v>
      </c>
      <c r="L757" s="98"/>
      <c r="M757" s="98"/>
      <c r="N757" s="99"/>
      <c r="O757" s="98"/>
      <c r="P757" s="98"/>
      <c r="Q757" s="99"/>
    </row>
    <row r="758" spans="1:17" ht="14.45" customHeight="1">
      <c r="A758" s="75">
        <v>109</v>
      </c>
      <c r="B758" s="76"/>
      <c r="C758" s="106" t="s">
        <v>169</v>
      </c>
      <c r="D758" s="106" t="s">
        <v>180</v>
      </c>
      <c r="E758" s="78" t="s">
        <v>98</v>
      </c>
      <c r="F758" s="79" t="s">
        <v>50</v>
      </c>
      <c r="G758" s="79" t="s">
        <v>50</v>
      </c>
      <c r="H758" s="80" t="s">
        <v>50</v>
      </c>
      <c r="I758" s="79" t="s">
        <v>51</v>
      </c>
      <c r="J758" s="79" t="s">
        <v>51</v>
      </c>
      <c r="K758" s="80" t="s">
        <v>51</v>
      </c>
      <c r="L758" s="79"/>
      <c r="M758" s="79"/>
      <c r="N758" s="80"/>
      <c r="O758" s="79"/>
      <c r="P758" s="79"/>
      <c r="Q758" s="80"/>
    </row>
    <row r="759" spans="1:17" ht="60" customHeight="1">
      <c r="A759" s="81">
        <v>109</v>
      </c>
      <c r="B759" s="82"/>
      <c r="C759" s="107" t="s">
        <v>169</v>
      </c>
      <c r="D759" s="107" t="s">
        <v>180</v>
      </c>
      <c r="E759" s="84" t="s">
        <v>98</v>
      </c>
      <c r="F759" s="85"/>
      <c r="G759" s="86" t="s">
        <v>183</v>
      </c>
      <c r="H759" s="87" t="s">
        <v>183</v>
      </c>
      <c r="I759" s="85"/>
      <c r="J759" s="86"/>
      <c r="K759" s="87"/>
      <c r="L759" s="86"/>
      <c r="M759" s="86"/>
      <c r="N759" s="87"/>
      <c r="O759" s="86"/>
      <c r="P759" s="86"/>
      <c r="Q759" s="87"/>
    </row>
    <row r="760" spans="1:17" ht="45" customHeight="1">
      <c r="A760" s="81">
        <v>109</v>
      </c>
      <c r="B760" s="82"/>
      <c r="C760" s="107" t="s">
        <v>169</v>
      </c>
      <c r="D760" s="107" t="s">
        <v>180</v>
      </c>
      <c r="E760" s="84" t="s">
        <v>98</v>
      </c>
      <c r="F760" s="85"/>
      <c r="G760" s="85"/>
      <c r="H760" s="88"/>
      <c r="I760" s="85"/>
      <c r="J760" s="85"/>
      <c r="K760" s="88"/>
      <c r="L760" s="86"/>
      <c r="M760" s="86"/>
      <c r="N760" s="87"/>
      <c r="O760" s="86"/>
      <c r="P760" s="86"/>
      <c r="Q760" s="87"/>
    </row>
    <row r="761" spans="1:17" ht="14.45" customHeight="1">
      <c r="A761" s="81">
        <v>109</v>
      </c>
      <c r="B761" s="82"/>
      <c r="C761" s="107" t="s">
        <v>169</v>
      </c>
      <c r="D761" s="107" t="s">
        <v>180</v>
      </c>
      <c r="E761" s="84" t="s">
        <v>98</v>
      </c>
      <c r="F761" s="89">
        <v>58</v>
      </c>
      <c r="G761" s="89">
        <v>105</v>
      </c>
      <c r="H761" s="88"/>
      <c r="I761" s="89">
        <v>75</v>
      </c>
      <c r="J761" s="89">
        <v>136</v>
      </c>
      <c r="K761" s="88"/>
      <c r="L761" s="86"/>
      <c r="M761" s="86"/>
      <c r="N761" s="87"/>
      <c r="O761" s="86"/>
      <c r="P761" s="86"/>
      <c r="Q761" s="87"/>
    </row>
    <row r="762" spans="1:17" ht="45" customHeight="1">
      <c r="A762" s="81">
        <v>109</v>
      </c>
      <c r="B762" s="82"/>
      <c r="C762" s="107" t="s">
        <v>169</v>
      </c>
      <c r="D762" s="107" t="s">
        <v>180</v>
      </c>
      <c r="E762" s="84" t="s">
        <v>98</v>
      </c>
      <c r="F762" s="85"/>
      <c r="G762" s="85"/>
      <c r="H762" s="88"/>
      <c r="I762" s="85"/>
      <c r="J762" s="85"/>
      <c r="K762" s="88"/>
      <c r="L762" s="86"/>
      <c r="M762" s="86"/>
      <c r="N762" s="87"/>
      <c r="O762" s="86"/>
      <c r="P762" s="86"/>
      <c r="Q762" s="87"/>
    </row>
    <row r="763" spans="1:17" ht="14.45" customHeight="1">
      <c r="A763" s="81">
        <v>109</v>
      </c>
      <c r="B763" s="82"/>
      <c r="C763" s="107" t="s">
        <v>169</v>
      </c>
      <c r="D763" s="107" t="s">
        <v>180</v>
      </c>
      <c r="E763" s="84" t="s">
        <v>98</v>
      </c>
      <c r="F763" s="85"/>
      <c r="G763" s="85"/>
      <c r="H763" s="88"/>
      <c r="I763" s="85"/>
      <c r="J763" s="85"/>
      <c r="K763" s="88"/>
      <c r="L763" s="86"/>
      <c r="M763" s="86"/>
      <c r="N763" s="87"/>
      <c r="O763" s="86"/>
      <c r="P763" s="86"/>
      <c r="Q763" s="87"/>
    </row>
    <row r="764" spans="1:17" ht="24" customHeight="1">
      <c r="A764" s="91">
        <v>109</v>
      </c>
      <c r="B764" s="92"/>
      <c r="C764" s="108" t="s">
        <v>169</v>
      </c>
      <c r="D764" s="108" t="s">
        <v>180</v>
      </c>
      <c r="E764" s="94" t="s">
        <v>98</v>
      </c>
      <c r="F764" s="95" t="s">
        <v>56</v>
      </c>
      <c r="G764" s="96">
        <v>7250</v>
      </c>
      <c r="H764" s="97">
        <v>7250</v>
      </c>
      <c r="I764" s="95" t="s">
        <v>56</v>
      </c>
      <c r="J764" s="96">
        <v>9390</v>
      </c>
      <c r="K764" s="97">
        <v>9390</v>
      </c>
      <c r="L764" s="98"/>
      <c r="M764" s="98"/>
      <c r="N764" s="99"/>
      <c r="O764" s="98"/>
      <c r="P764" s="98"/>
      <c r="Q764" s="99"/>
    </row>
    <row r="765" spans="1:17" ht="14.45" customHeight="1">
      <c r="A765" s="75">
        <v>110</v>
      </c>
      <c r="B765" s="76"/>
      <c r="C765" s="106" t="s">
        <v>171</v>
      </c>
      <c r="D765" s="106" t="s">
        <v>180</v>
      </c>
      <c r="E765" s="78" t="s">
        <v>98</v>
      </c>
      <c r="F765" s="79" t="s">
        <v>50</v>
      </c>
      <c r="G765" s="79" t="s">
        <v>50</v>
      </c>
      <c r="H765" s="80" t="s">
        <v>50</v>
      </c>
      <c r="I765" s="79" t="s">
        <v>51</v>
      </c>
      <c r="J765" s="79" t="s">
        <v>51</v>
      </c>
      <c r="K765" s="80" t="s">
        <v>51</v>
      </c>
      <c r="L765" s="79"/>
      <c r="M765" s="79"/>
      <c r="N765" s="80"/>
      <c r="O765" s="79"/>
      <c r="P765" s="79"/>
      <c r="Q765" s="80"/>
    </row>
    <row r="766" spans="1:17" ht="60" customHeight="1">
      <c r="A766" s="81">
        <v>110</v>
      </c>
      <c r="B766" s="82"/>
      <c r="C766" s="107" t="s">
        <v>171</v>
      </c>
      <c r="D766" s="107" t="s">
        <v>180</v>
      </c>
      <c r="E766" s="84" t="s">
        <v>98</v>
      </c>
      <c r="F766" s="85"/>
      <c r="G766" s="86" t="s">
        <v>184</v>
      </c>
      <c r="H766" s="87" t="s">
        <v>184</v>
      </c>
      <c r="I766" s="85"/>
      <c r="J766" s="86"/>
      <c r="K766" s="87"/>
      <c r="L766" s="86"/>
      <c r="M766" s="86"/>
      <c r="N766" s="87"/>
      <c r="O766" s="86"/>
      <c r="P766" s="86"/>
      <c r="Q766" s="87"/>
    </row>
    <row r="767" spans="1:17" ht="45" customHeight="1">
      <c r="A767" s="81">
        <v>110</v>
      </c>
      <c r="B767" s="82"/>
      <c r="C767" s="107" t="s">
        <v>171</v>
      </c>
      <c r="D767" s="107" t="s">
        <v>180</v>
      </c>
      <c r="E767" s="84" t="s">
        <v>98</v>
      </c>
      <c r="F767" s="85"/>
      <c r="G767" s="85"/>
      <c r="H767" s="88"/>
      <c r="I767" s="85"/>
      <c r="J767" s="85"/>
      <c r="K767" s="88"/>
      <c r="L767" s="86"/>
      <c r="M767" s="86"/>
      <c r="N767" s="87"/>
      <c r="O767" s="86"/>
      <c r="P767" s="86"/>
      <c r="Q767" s="87"/>
    </row>
    <row r="768" spans="1:17" ht="14.45" customHeight="1">
      <c r="A768" s="81">
        <v>110</v>
      </c>
      <c r="B768" s="82"/>
      <c r="C768" s="107" t="s">
        <v>171</v>
      </c>
      <c r="D768" s="107" t="s">
        <v>180</v>
      </c>
      <c r="E768" s="84" t="s">
        <v>98</v>
      </c>
      <c r="F768" s="89">
        <v>58</v>
      </c>
      <c r="G768" s="89">
        <v>105</v>
      </c>
      <c r="H768" s="88"/>
      <c r="I768" s="89">
        <v>136</v>
      </c>
      <c r="J768" s="89">
        <v>75</v>
      </c>
      <c r="K768" s="88"/>
      <c r="L768" s="86"/>
      <c r="M768" s="86"/>
      <c r="N768" s="87"/>
      <c r="O768" s="86"/>
      <c r="P768" s="86"/>
      <c r="Q768" s="87"/>
    </row>
    <row r="769" spans="1:17" ht="45" customHeight="1">
      <c r="A769" s="81">
        <v>110</v>
      </c>
      <c r="B769" s="82"/>
      <c r="C769" s="107" t="s">
        <v>171</v>
      </c>
      <c r="D769" s="107" t="s">
        <v>180</v>
      </c>
      <c r="E769" s="84" t="s">
        <v>98</v>
      </c>
      <c r="F769" s="85"/>
      <c r="G769" s="85"/>
      <c r="H769" s="88"/>
      <c r="I769" s="85"/>
      <c r="J769" s="85"/>
      <c r="K769" s="88"/>
      <c r="L769" s="86"/>
      <c r="M769" s="86"/>
      <c r="N769" s="87"/>
      <c r="O769" s="86"/>
      <c r="P769" s="86"/>
      <c r="Q769" s="87"/>
    </row>
    <row r="770" spans="1:17" ht="14.45" customHeight="1">
      <c r="A770" s="81">
        <v>110</v>
      </c>
      <c r="B770" s="82"/>
      <c r="C770" s="107" t="s">
        <v>171</v>
      </c>
      <c r="D770" s="107" t="s">
        <v>180</v>
      </c>
      <c r="E770" s="84" t="s">
        <v>98</v>
      </c>
      <c r="F770" s="85"/>
      <c r="G770" s="85"/>
      <c r="H770" s="88"/>
      <c r="I770" s="85"/>
      <c r="J770" s="85"/>
      <c r="K770" s="88"/>
      <c r="L770" s="86"/>
      <c r="M770" s="86"/>
      <c r="N770" s="87"/>
      <c r="O770" s="86"/>
      <c r="P770" s="86"/>
      <c r="Q770" s="87"/>
    </row>
    <row r="771" spans="1:17" ht="24" customHeight="1">
      <c r="A771" s="91">
        <v>110</v>
      </c>
      <c r="B771" s="92"/>
      <c r="C771" s="108" t="s">
        <v>171</v>
      </c>
      <c r="D771" s="108" t="s">
        <v>180</v>
      </c>
      <c r="E771" s="94" t="s">
        <v>98</v>
      </c>
      <c r="F771" s="95" t="s">
        <v>56</v>
      </c>
      <c r="G771" s="96">
        <v>7250</v>
      </c>
      <c r="H771" s="97">
        <v>7250</v>
      </c>
      <c r="I771" s="95" t="s">
        <v>56</v>
      </c>
      <c r="J771" s="96">
        <v>9390</v>
      </c>
      <c r="K771" s="97">
        <v>9390</v>
      </c>
      <c r="L771" s="98"/>
      <c r="M771" s="98"/>
      <c r="N771" s="99"/>
      <c r="O771" s="98"/>
      <c r="P771" s="98"/>
      <c r="Q771" s="99"/>
    </row>
    <row r="772" spans="1:17" ht="14.45" customHeight="1">
      <c r="A772" s="75">
        <v>111</v>
      </c>
      <c r="B772" s="76"/>
      <c r="C772" s="106" t="s">
        <v>174</v>
      </c>
      <c r="D772" s="106" t="s">
        <v>180</v>
      </c>
      <c r="E772" s="78" t="s">
        <v>69</v>
      </c>
      <c r="F772" s="79" t="s">
        <v>50</v>
      </c>
      <c r="G772" s="79" t="s">
        <v>50</v>
      </c>
      <c r="H772" s="80" t="s">
        <v>50</v>
      </c>
      <c r="I772" s="79" t="s">
        <v>51</v>
      </c>
      <c r="J772" s="79" t="s">
        <v>51</v>
      </c>
      <c r="K772" s="80" t="s">
        <v>51</v>
      </c>
      <c r="L772" s="79"/>
      <c r="M772" s="79"/>
      <c r="N772" s="80"/>
      <c r="O772" s="79"/>
      <c r="P772" s="79"/>
      <c r="Q772" s="80"/>
    </row>
    <row r="773" spans="1:17" ht="60" customHeight="1">
      <c r="A773" s="81">
        <v>111</v>
      </c>
      <c r="B773" s="82"/>
      <c r="C773" s="107" t="s">
        <v>174</v>
      </c>
      <c r="D773" s="107" t="s">
        <v>180</v>
      </c>
      <c r="E773" s="84" t="s">
        <v>69</v>
      </c>
      <c r="F773" s="85"/>
      <c r="G773" s="86" t="s">
        <v>185</v>
      </c>
      <c r="H773" s="87" t="s">
        <v>185</v>
      </c>
      <c r="I773" s="85"/>
      <c r="J773" s="86"/>
      <c r="K773" s="87"/>
      <c r="L773" s="86"/>
      <c r="M773" s="86"/>
      <c r="N773" s="87"/>
      <c r="O773" s="86"/>
      <c r="P773" s="86"/>
      <c r="Q773" s="87"/>
    </row>
    <row r="774" spans="1:17" ht="45" customHeight="1">
      <c r="A774" s="81">
        <v>111</v>
      </c>
      <c r="B774" s="82"/>
      <c r="C774" s="107" t="s">
        <v>174</v>
      </c>
      <c r="D774" s="107" t="s">
        <v>180</v>
      </c>
      <c r="E774" s="84" t="s">
        <v>69</v>
      </c>
      <c r="F774" s="85"/>
      <c r="G774" s="85"/>
      <c r="H774" s="88"/>
      <c r="I774" s="85"/>
      <c r="J774" s="85"/>
      <c r="K774" s="88"/>
      <c r="L774" s="86"/>
      <c r="M774" s="86"/>
      <c r="N774" s="87"/>
      <c r="O774" s="86"/>
      <c r="P774" s="86"/>
      <c r="Q774" s="87"/>
    </row>
    <row r="775" spans="1:17" ht="14.45" customHeight="1">
      <c r="A775" s="81">
        <v>111</v>
      </c>
      <c r="B775" s="82"/>
      <c r="C775" s="107" t="s">
        <v>174</v>
      </c>
      <c r="D775" s="107" t="s">
        <v>180</v>
      </c>
      <c r="E775" s="84" t="s">
        <v>69</v>
      </c>
      <c r="F775" s="89">
        <v>66</v>
      </c>
      <c r="G775" s="89">
        <v>73</v>
      </c>
      <c r="H775" s="88"/>
      <c r="I775" s="89">
        <v>87</v>
      </c>
      <c r="J775" s="89">
        <v>95</v>
      </c>
      <c r="K775" s="88"/>
      <c r="L775" s="86"/>
      <c r="M775" s="86"/>
      <c r="N775" s="87"/>
      <c r="O775" s="86"/>
      <c r="P775" s="86"/>
      <c r="Q775" s="87"/>
    </row>
    <row r="776" spans="1:17" ht="45" customHeight="1">
      <c r="A776" s="81">
        <v>111</v>
      </c>
      <c r="B776" s="82"/>
      <c r="C776" s="107" t="s">
        <v>174</v>
      </c>
      <c r="D776" s="107" t="s">
        <v>180</v>
      </c>
      <c r="E776" s="84" t="s">
        <v>69</v>
      </c>
      <c r="F776" s="85"/>
      <c r="G776" s="85"/>
      <c r="H776" s="88"/>
      <c r="I776" s="85"/>
      <c r="J776" s="85"/>
      <c r="K776" s="88"/>
      <c r="L776" s="86"/>
      <c r="M776" s="86"/>
      <c r="N776" s="87"/>
      <c r="O776" s="86"/>
      <c r="P776" s="86"/>
      <c r="Q776" s="87"/>
    </row>
    <row r="777" spans="1:17" ht="14.45" customHeight="1">
      <c r="A777" s="81">
        <v>111</v>
      </c>
      <c r="B777" s="82"/>
      <c r="C777" s="107" t="s">
        <v>174</v>
      </c>
      <c r="D777" s="107" t="s">
        <v>180</v>
      </c>
      <c r="E777" s="84" t="s">
        <v>69</v>
      </c>
      <c r="F777" s="85"/>
      <c r="G777" s="85"/>
      <c r="H777" s="88"/>
      <c r="I777" s="85"/>
      <c r="J777" s="85"/>
      <c r="K777" s="88"/>
      <c r="L777" s="86"/>
      <c r="M777" s="86"/>
      <c r="N777" s="87"/>
      <c r="O777" s="86"/>
      <c r="P777" s="86"/>
      <c r="Q777" s="87"/>
    </row>
    <row r="778" spans="1:17" ht="24" customHeight="1">
      <c r="A778" s="91">
        <v>111</v>
      </c>
      <c r="B778" s="92"/>
      <c r="C778" s="108" t="s">
        <v>174</v>
      </c>
      <c r="D778" s="108" t="s">
        <v>180</v>
      </c>
      <c r="E778" s="94" t="s">
        <v>69</v>
      </c>
      <c r="F778" s="95" t="s">
        <v>56</v>
      </c>
      <c r="G778" s="96">
        <v>6490</v>
      </c>
      <c r="H778" s="97">
        <v>6490</v>
      </c>
      <c r="I778" s="95" t="s">
        <v>56</v>
      </c>
      <c r="J778" s="96">
        <v>8490</v>
      </c>
      <c r="K778" s="97">
        <v>8490</v>
      </c>
      <c r="L778" s="98"/>
      <c r="M778" s="98"/>
      <c r="N778" s="99"/>
      <c r="O778" s="98"/>
      <c r="P778" s="98"/>
      <c r="Q778" s="99"/>
    </row>
    <row r="779" spans="1:17" ht="14.45" customHeight="1">
      <c r="A779" s="75">
        <v>112</v>
      </c>
      <c r="B779" s="76"/>
      <c r="C779" s="106" t="s">
        <v>173</v>
      </c>
      <c r="D779" s="106" t="s">
        <v>180</v>
      </c>
      <c r="E779" s="78" t="s">
        <v>69</v>
      </c>
      <c r="F779" s="79" t="s">
        <v>50</v>
      </c>
      <c r="G779" s="79" t="s">
        <v>50</v>
      </c>
      <c r="H779" s="80" t="s">
        <v>50</v>
      </c>
      <c r="I779" s="79" t="s">
        <v>51</v>
      </c>
      <c r="J779" s="79" t="s">
        <v>51</v>
      </c>
      <c r="K779" s="80" t="s">
        <v>51</v>
      </c>
      <c r="L779" s="79"/>
      <c r="M779" s="79"/>
      <c r="N779" s="80"/>
      <c r="O779" s="79"/>
      <c r="P779" s="79"/>
      <c r="Q779" s="80"/>
    </row>
    <row r="780" spans="1:17" ht="60" customHeight="1">
      <c r="A780" s="81">
        <v>112</v>
      </c>
      <c r="B780" s="82"/>
      <c r="C780" s="107" t="s">
        <v>173</v>
      </c>
      <c r="D780" s="107" t="s">
        <v>180</v>
      </c>
      <c r="E780" s="84" t="s">
        <v>69</v>
      </c>
      <c r="F780" s="85"/>
      <c r="G780" s="86" t="s">
        <v>185</v>
      </c>
      <c r="H780" s="87" t="s">
        <v>185</v>
      </c>
      <c r="I780" s="85"/>
      <c r="J780" s="86"/>
      <c r="K780" s="87"/>
      <c r="L780" s="86"/>
      <c r="M780" s="86"/>
      <c r="N780" s="87"/>
      <c r="O780" s="86"/>
      <c r="P780" s="86"/>
      <c r="Q780" s="87"/>
    </row>
    <row r="781" spans="1:17" ht="45" customHeight="1">
      <c r="A781" s="81">
        <v>112</v>
      </c>
      <c r="B781" s="82"/>
      <c r="C781" s="107" t="s">
        <v>173</v>
      </c>
      <c r="D781" s="107" t="s">
        <v>180</v>
      </c>
      <c r="E781" s="84" t="s">
        <v>69</v>
      </c>
      <c r="F781" s="85"/>
      <c r="G781" s="85"/>
      <c r="H781" s="88"/>
      <c r="I781" s="85"/>
      <c r="J781" s="85"/>
      <c r="K781" s="88"/>
      <c r="L781" s="86"/>
      <c r="M781" s="86"/>
      <c r="N781" s="87"/>
      <c r="O781" s="86"/>
      <c r="P781" s="86"/>
      <c r="Q781" s="87"/>
    </row>
    <row r="782" spans="1:17" ht="14.45" customHeight="1">
      <c r="A782" s="81">
        <v>112</v>
      </c>
      <c r="B782" s="82"/>
      <c r="C782" s="107" t="s">
        <v>173</v>
      </c>
      <c r="D782" s="107" t="s">
        <v>180</v>
      </c>
      <c r="E782" s="84" t="s">
        <v>69</v>
      </c>
      <c r="F782" s="89">
        <v>66</v>
      </c>
      <c r="G782" s="89">
        <v>73</v>
      </c>
      <c r="H782" s="88"/>
      <c r="I782" s="89">
        <v>87</v>
      </c>
      <c r="J782" s="89">
        <v>95</v>
      </c>
      <c r="K782" s="88"/>
      <c r="L782" s="86"/>
      <c r="M782" s="86"/>
      <c r="N782" s="87"/>
      <c r="O782" s="86"/>
      <c r="P782" s="86"/>
      <c r="Q782" s="87"/>
    </row>
    <row r="783" spans="1:17" ht="45" customHeight="1">
      <c r="A783" s="81">
        <v>112</v>
      </c>
      <c r="B783" s="82"/>
      <c r="C783" s="107" t="s">
        <v>173</v>
      </c>
      <c r="D783" s="107" t="s">
        <v>180</v>
      </c>
      <c r="E783" s="84" t="s">
        <v>69</v>
      </c>
      <c r="F783" s="85"/>
      <c r="G783" s="85"/>
      <c r="H783" s="88"/>
      <c r="I783" s="85"/>
      <c r="J783" s="85"/>
      <c r="K783" s="88"/>
      <c r="L783" s="86"/>
      <c r="M783" s="86"/>
      <c r="N783" s="87"/>
      <c r="O783" s="86"/>
      <c r="P783" s="86"/>
      <c r="Q783" s="87"/>
    </row>
    <row r="784" spans="1:17" ht="14.45" customHeight="1">
      <c r="A784" s="81">
        <v>112</v>
      </c>
      <c r="B784" s="82"/>
      <c r="C784" s="107" t="s">
        <v>173</v>
      </c>
      <c r="D784" s="107" t="s">
        <v>180</v>
      </c>
      <c r="E784" s="84" t="s">
        <v>69</v>
      </c>
      <c r="F784" s="85"/>
      <c r="G784" s="85"/>
      <c r="H784" s="88"/>
      <c r="I784" s="85"/>
      <c r="J784" s="85"/>
      <c r="K784" s="88"/>
      <c r="L784" s="86"/>
      <c r="M784" s="86"/>
      <c r="N784" s="87"/>
      <c r="O784" s="86"/>
      <c r="P784" s="86"/>
      <c r="Q784" s="87"/>
    </row>
    <row r="785" spans="1:17" ht="24" customHeight="1">
      <c r="A785" s="91">
        <v>112</v>
      </c>
      <c r="B785" s="92"/>
      <c r="C785" s="108" t="s">
        <v>173</v>
      </c>
      <c r="D785" s="108" t="s">
        <v>180</v>
      </c>
      <c r="E785" s="94" t="s">
        <v>69</v>
      </c>
      <c r="F785" s="95" t="s">
        <v>56</v>
      </c>
      <c r="G785" s="96">
        <v>6490</v>
      </c>
      <c r="H785" s="97">
        <v>6490</v>
      </c>
      <c r="I785" s="95" t="s">
        <v>56</v>
      </c>
      <c r="J785" s="96">
        <v>8490</v>
      </c>
      <c r="K785" s="97">
        <v>8490</v>
      </c>
      <c r="L785" s="98"/>
      <c r="M785" s="98"/>
      <c r="N785" s="99"/>
      <c r="O785" s="98"/>
      <c r="P785" s="98"/>
      <c r="Q785" s="99"/>
    </row>
    <row r="786" spans="1:17" ht="14.45" customHeight="1">
      <c r="A786" s="75">
        <v>113</v>
      </c>
      <c r="B786" s="76"/>
      <c r="C786" s="106" t="s">
        <v>172</v>
      </c>
      <c r="D786" s="106" t="s">
        <v>180</v>
      </c>
      <c r="E786" s="78" t="s">
        <v>69</v>
      </c>
      <c r="F786" s="79" t="s">
        <v>50</v>
      </c>
      <c r="G786" s="79" t="s">
        <v>50</v>
      </c>
      <c r="H786" s="80" t="s">
        <v>50</v>
      </c>
      <c r="I786" s="79" t="s">
        <v>51</v>
      </c>
      <c r="J786" s="79" t="s">
        <v>51</v>
      </c>
      <c r="K786" s="80" t="s">
        <v>51</v>
      </c>
      <c r="L786" s="79"/>
      <c r="M786" s="79"/>
      <c r="N786" s="80"/>
      <c r="O786" s="79"/>
      <c r="P786" s="79"/>
      <c r="Q786" s="80"/>
    </row>
    <row r="787" spans="1:17" ht="60" customHeight="1">
      <c r="A787" s="81">
        <v>113</v>
      </c>
      <c r="B787" s="82"/>
      <c r="C787" s="107" t="s">
        <v>172</v>
      </c>
      <c r="D787" s="107" t="s">
        <v>180</v>
      </c>
      <c r="E787" s="84" t="s">
        <v>69</v>
      </c>
      <c r="F787" s="85"/>
      <c r="G787" s="86" t="s">
        <v>185</v>
      </c>
      <c r="H787" s="87" t="s">
        <v>185</v>
      </c>
      <c r="I787" s="85"/>
      <c r="J787" s="86"/>
      <c r="K787" s="87"/>
      <c r="L787" s="86"/>
      <c r="M787" s="86"/>
      <c r="N787" s="87"/>
      <c r="O787" s="86"/>
      <c r="P787" s="86"/>
      <c r="Q787" s="87"/>
    </row>
    <row r="788" spans="1:17" ht="45" customHeight="1">
      <c r="A788" s="81">
        <v>113</v>
      </c>
      <c r="B788" s="82"/>
      <c r="C788" s="107" t="s">
        <v>172</v>
      </c>
      <c r="D788" s="107" t="s">
        <v>180</v>
      </c>
      <c r="E788" s="84" t="s">
        <v>69</v>
      </c>
      <c r="F788" s="85"/>
      <c r="G788" s="85"/>
      <c r="H788" s="88"/>
      <c r="I788" s="85"/>
      <c r="J788" s="85"/>
      <c r="K788" s="88"/>
      <c r="L788" s="86"/>
      <c r="M788" s="86"/>
      <c r="N788" s="87"/>
      <c r="O788" s="86"/>
      <c r="P788" s="86"/>
      <c r="Q788" s="87"/>
    </row>
    <row r="789" spans="1:17" ht="14.45" customHeight="1">
      <c r="A789" s="81">
        <v>113</v>
      </c>
      <c r="B789" s="82"/>
      <c r="C789" s="107" t="s">
        <v>172</v>
      </c>
      <c r="D789" s="107" t="s">
        <v>180</v>
      </c>
      <c r="E789" s="84" t="s">
        <v>69</v>
      </c>
      <c r="F789" s="89">
        <v>66</v>
      </c>
      <c r="G789" s="89">
        <v>73</v>
      </c>
      <c r="H789" s="88"/>
      <c r="I789" s="89">
        <v>87</v>
      </c>
      <c r="J789" s="89">
        <v>95</v>
      </c>
      <c r="K789" s="88"/>
      <c r="L789" s="86"/>
      <c r="M789" s="86"/>
      <c r="N789" s="87"/>
      <c r="O789" s="86"/>
      <c r="P789" s="86"/>
      <c r="Q789" s="87"/>
    </row>
    <row r="790" spans="1:17" ht="45" customHeight="1">
      <c r="A790" s="81">
        <v>113</v>
      </c>
      <c r="B790" s="82"/>
      <c r="C790" s="107" t="s">
        <v>172</v>
      </c>
      <c r="D790" s="107" t="s">
        <v>180</v>
      </c>
      <c r="E790" s="84" t="s">
        <v>69</v>
      </c>
      <c r="F790" s="85"/>
      <c r="G790" s="85"/>
      <c r="H790" s="88"/>
      <c r="I790" s="85"/>
      <c r="J790" s="85"/>
      <c r="K790" s="88"/>
      <c r="L790" s="86"/>
      <c r="M790" s="86"/>
      <c r="N790" s="87"/>
      <c r="O790" s="86"/>
      <c r="P790" s="86"/>
      <c r="Q790" s="87"/>
    </row>
    <row r="791" spans="1:17" ht="14.45" customHeight="1">
      <c r="A791" s="81">
        <v>113</v>
      </c>
      <c r="B791" s="82"/>
      <c r="C791" s="107" t="s">
        <v>172</v>
      </c>
      <c r="D791" s="107" t="s">
        <v>180</v>
      </c>
      <c r="E791" s="84" t="s">
        <v>69</v>
      </c>
      <c r="F791" s="85"/>
      <c r="G791" s="85"/>
      <c r="H791" s="88"/>
      <c r="I791" s="85"/>
      <c r="J791" s="85"/>
      <c r="K791" s="88"/>
      <c r="L791" s="86"/>
      <c r="M791" s="86"/>
      <c r="N791" s="87"/>
      <c r="O791" s="86"/>
      <c r="P791" s="86"/>
      <c r="Q791" s="87"/>
    </row>
    <row r="792" spans="1:17" ht="24" customHeight="1">
      <c r="A792" s="91">
        <v>113</v>
      </c>
      <c r="B792" s="92"/>
      <c r="C792" s="108" t="s">
        <v>172</v>
      </c>
      <c r="D792" s="108" t="s">
        <v>180</v>
      </c>
      <c r="E792" s="94" t="s">
        <v>69</v>
      </c>
      <c r="F792" s="95" t="s">
        <v>56</v>
      </c>
      <c r="G792" s="96">
        <v>6490</v>
      </c>
      <c r="H792" s="97">
        <v>6490</v>
      </c>
      <c r="I792" s="95" t="s">
        <v>56</v>
      </c>
      <c r="J792" s="96">
        <v>8490</v>
      </c>
      <c r="K792" s="97">
        <v>8490</v>
      </c>
      <c r="L792" s="98"/>
      <c r="M792" s="98"/>
      <c r="N792" s="99"/>
      <c r="O792" s="98"/>
      <c r="P792" s="98"/>
      <c r="Q792" s="99"/>
    </row>
    <row r="793" spans="1:17" ht="14.45" customHeight="1">
      <c r="A793" s="75">
        <v>114</v>
      </c>
      <c r="B793" s="76"/>
      <c r="C793" s="106" t="s">
        <v>166</v>
      </c>
      <c r="D793" s="106" t="s">
        <v>180</v>
      </c>
      <c r="E793" s="78" t="s">
        <v>49</v>
      </c>
      <c r="F793" s="79" t="s">
        <v>50</v>
      </c>
      <c r="G793" s="79" t="s">
        <v>50</v>
      </c>
      <c r="H793" s="80" t="s">
        <v>50</v>
      </c>
      <c r="I793" s="79" t="s">
        <v>51</v>
      </c>
      <c r="J793" s="79" t="s">
        <v>51</v>
      </c>
      <c r="K793" s="80" t="s">
        <v>51</v>
      </c>
      <c r="L793" s="79"/>
      <c r="M793" s="79"/>
      <c r="N793" s="80"/>
      <c r="O793" s="79"/>
      <c r="P793" s="79"/>
      <c r="Q793" s="80"/>
    </row>
    <row r="794" spans="1:17" ht="60" customHeight="1">
      <c r="A794" s="81">
        <v>114</v>
      </c>
      <c r="B794" s="82"/>
      <c r="C794" s="107" t="s">
        <v>166</v>
      </c>
      <c r="D794" s="107" t="s">
        <v>180</v>
      </c>
      <c r="E794" s="84" t="s">
        <v>49</v>
      </c>
      <c r="F794" s="85"/>
      <c r="G794" s="86" t="s">
        <v>186</v>
      </c>
      <c r="H794" s="87" t="s">
        <v>186</v>
      </c>
      <c r="I794" s="85"/>
      <c r="J794" s="86"/>
      <c r="K794" s="87"/>
      <c r="L794" s="86"/>
      <c r="M794" s="86"/>
      <c r="N794" s="87"/>
      <c r="O794" s="86"/>
      <c r="P794" s="86"/>
      <c r="Q794" s="87"/>
    </row>
    <row r="795" spans="1:17" ht="45" customHeight="1">
      <c r="A795" s="81">
        <v>114</v>
      </c>
      <c r="B795" s="82"/>
      <c r="C795" s="107" t="s">
        <v>166</v>
      </c>
      <c r="D795" s="107" t="s">
        <v>180</v>
      </c>
      <c r="E795" s="84" t="s">
        <v>49</v>
      </c>
      <c r="F795" s="85"/>
      <c r="G795" s="85"/>
      <c r="H795" s="88"/>
      <c r="I795" s="85"/>
      <c r="J795" s="85"/>
      <c r="K795" s="88"/>
      <c r="L795" s="86"/>
      <c r="M795" s="86"/>
      <c r="N795" s="87"/>
      <c r="O795" s="86"/>
      <c r="P795" s="86"/>
      <c r="Q795" s="87"/>
    </row>
    <row r="796" spans="1:17" ht="14.45" customHeight="1">
      <c r="A796" s="81">
        <v>114</v>
      </c>
      <c r="B796" s="82"/>
      <c r="C796" s="107" t="s">
        <v>166</v>
      </c>
      <c r="D796" s="107" t="s">
        <v>180</v>
      </c>
      <c r="E796" s="84" t="s">
        <v>49</v>
      </c>
      <c r="F796" s="89">
        <v>40</v>
      </c>
      <c r="G796" s="89">
        <v>41</v>
      </c>
      <c r="H796" s="90">
        <v>38</v>
      </c>
      <c r="I796" s="89">
        <v>59</v>
      </c>
      <c r="J796" s="89">
        <v>61</v>
      </c>
      <c r="K796" s="90">
        <v>56</v>
      </c>
      <c r="L796" s="86"/>
      <c r="M796" s="86"/>
      <c r="N796" s="87"/>
      <c r="O796" s="86"/>
      <c r="P796" s="86"/>
      <c r="Q796" s="87"/>
    </row>
    <row r="797" spans="1:17" ht="45" customHeight="1">
      <c r="A797" s="81">
        <v>114</v>
      </c>
      <c r="B797" s="82"/>
      <c r="C797" s="107" t="s">
        <v>166</v>
      </c>
      <c r="D797" s="107" t="s">
        <v>180</v>
      </c>
      <c r="E797" s="84" t="s">
        <v>49</v>
      </c>
      <c r="F797" s="85"/>
      <c r="G797" s="85"/>
      <c r="H797" s="88"/>
      <c r="I797" s="85"/>
      <c r="J797" s="85"/>
      <c r="K797" s="88"/>
      <c r="L797" s="86"/>
      <c r="M797" s="86"/>
      <c r="N797" s="87"/>
      <c r="O797" s="86"/>
      <c r="P797" s="86"/>
      <c r="Q797" s="87"/>
    </row>
    <row r="798" spans="1:17" ht="14.45" customHeight="1">
      <c r="A798" s="81">
        <v>114</v>
      </c>
      <c r="B798" s="82"/>
      <c r="C798" s="107" t="s">
        <v>166</v>
      </c>
      <c r="D798" s="107" t="s">
        <v>180</v>
      </c>
      <c r="E798" s="84" t="s">
        <v>49</v>
      </c>
      <c r="F798" s="85"/>
      <c r="G798" s="85"/>
      <c r="H798" s="88"/>
      <c r="I798" s="85"/>
      <c r="J798" s="85"/>
      <c r="K798" s="88"/>
      <c r="L798" s="86"/>
      <c r="M798" s="86"/>
      <c r="N798" s="87"/>
      <c r="O798" s="86"/>
      <c r="P798" s="86"/>
      <c r="Q798" s="87"/>
    </row>
    <row r="799" spans="1:17" ht="24" customHeight="1">
      <c r="A799" s="91">
        <v>114</v>
      </c>
      <c r="B799" s="92"/>
      <c r="C799" s="108" t="s">
        <v>166</v>
      </c>
      <c r="D799" s="108" t="s">
        <v>180</v>
      </c>
      <c r="E799" s="94" t="s">
        <v>49</v>
      </c>
      <c r="F799" s="95" t="s">
        <v>56</v>
      </c>
      <c r="G799" s="96">
        <v>6280</v>
      </c>
      <c r="H799" s="97">
        <v>6280</v>
      </c>
      <c r="I799" s="95" t="s">
        <v>56</v>
      </c>
      <c r="J799" s="96">
        <v>9280</v>
      </c>
      <c r="K799" s="97">
        <v>9280</v>
      </c>
      <c r="L799" s="98"/>
      <c r="M799" s="98"/>
      <c r="N799" s="99"/>
      <c r="O799" s="98"/>
      <c r="P799" s="98"/>
      <c r="Q799" s="99"/>
    </row>
    <row r="800" spans="1:17" ht="14.45" customHeight="1">
      <c r="A800" s="75">
        <v>115</v>
      </c>
      <c r="B800" s="76"/>
      <c r="C800" s="106" t="s">
        <v>167</v>
      </c>
      <c r="D800" s="106" t="s">
        <v>180</v>
      </c>
      <c r="E800" s="78" t="s">
        <v>49</v>
      </c>
      <c r="F800" s="79" t="s">
        <v>50</v>
      </c>
      <c r="G800" s="79" t="s">
        <v>50</v>
      </c>
      <c r="H800" s="80" t="s">
        <v>50</v>
      </c>
      <c r="I800" s="79" t="s">
        <v>51</v>
      </c>
      <c r="J800" s="79" t="s">
        <v>51</v>
      </c>
      <c r="K800" s="80" t="s">
        <v>51</v>
      </c>
      <c r="L800" s="79"/>
      <c r="M800" s="79"/>
      <c r="N800" s="80"/>
      <c r="O800" s="79"/>
      <c r="P800" s="79"/>
      <c r="Q800" s="80"/>
    </row>
    <row r="801" spans="1:17" ht="60" customHeight="1">
      <c r="A801" s="81">
        <v>115</v>
      </c>
      <c r="B801" s="82"/>
      <c r="C801" s="107" t="s">
        <v>167</v>
      </c>
      <c r="D801" s="107" t="s">
        <v>180</v>
      </c>
      <c r="E801" s="84" t="s">
        <v>49</v>
      </c>
      <c r="F801" s="85"/>
      <c r="G801" s="86" t="s">
        <v>187</v>
      </c>
      <c r="H801" s="87" t="s">
        <v>187</v>
      </c>
      <c r="I801" s="85"/>
      <c r="J801" s="86"/>
      <c r="K801" s="87"/>
      <c r="L801" s="86"/>
      <c r="M801" s="86"/>
      <c r="N801" s="87"/>
      <c r="O801" s="86"/>
      <c r="P801" s="86"/>
      <c r="Q801" s="87"/>
    </row>
    <row r="802" spans="1:17" ht="45" customHeight="1">
      <c r="A802" s="81">
        <v>115</v>
      </c>
      <c r="B802" s="82"/>
      <c r="C802" s="107" t="s">
        <v>167</v>
      </c>
      <c r="D802" s="107" t="s">
        <v>180</v>
      </c>
      <c r="E802" s="84" t="s">
        <v>49</v>
      </c>
      <c r="F802" s="85"/>
      <c r="G802" s="85"/>
      <c r="H802" s="88"/>
      <c r="I802" s="85"/>
      <c r="J802" s="85"/>
      <c r="K802" s="88"/>
      <c r="L802" s="86"/>
      <c r="M802" s="86"/>
      <c r="N802" s="87"/>
      <c r="O802" s="86"/>
      <c r="P802" s="86"/>
      <c r="Q802" s="87"/>
    </row>
    <row r="803" spans="1:17" ht="14.45" customHeight="1">
      <c r="A803" s="81">
        <v>115</v>
      </c>
      <c r="B803" s="82"/>
      <c r="C803" s="107" t="s">
        <v>167</v>
      </c>
      <c r="D803" s="107" t="s">
        <v>180</v>
      </c>
      <c r="E803" s="84" t="s">
        <v>49</v>
      </c>
      <c r="F803" s="89">
        <v>40</v>
      </c>
      <c r="G803" s="89">
        <v>41</v>
      </c>
      <c r="H803" s="90">
        <v>38</v>
      </c>
      <c r="I803" s="89">
        <v>59</v>
      </c>
      <c r="J803" s="89">
        <v>61</v>
      </c>
      <c r="K803" s="90">
        <v>56</v>
      </c>
      <c r="L803" s="86"/>
      <c r="M803" s="86"/>
      <c r="N803" s="87"/>
      <c r="O803" s="86"/>
      <c r="P803" s="86"/>
      <c r="Q803" s="87"/>
    </row>
    <row r="804" spans="1:17" ht="45" customHeight="1">
      <c r="A804" s="81">
        <v>115</v>
      </c>
      <c r="B804" s="82"/>
      <c r="C804" s="107" t="s">
        <v>167</v>
      </c>
      <c r="D804" s="107" t="s">
        <v>180</v>
      </c>
      <c r="E804" s="84" t="s">
        <v>49</v>
      </c>
      <c r="F804" s="85"/>
      <c r="G804" s="85"/>
      <c r="H804" s="88"/>
      <c r="I804" s="85"/>
      <c r="J804" s="85"/>
      <c r="K804" s="88"/>
      <c r="L804" s="86"/>
      <c r="M804" s="86"/>
      <c r="N804" s="87"/>
      <c r="O804" s="86"/>
      <c r="P804" s="86"/>
      <c r="Q804" s="87"/>
    </row>
    <row r="805" spans="1:17" ht="14.45" customHeight="1">
      <c r="A805" s="81">
        <v>115</v>
      </c>
      <c r="B805" s="82"/>
      <c r="C805" s="107" t="s">
        <v>167</v>
      </c>
      <c r="D805" s="107" t="s">
        <v>180</v>
      </c>
      <c r="E805" s="84" t="s">
        <v>49</v>
      </c>
      <c r="F805" s="85"/>
      <c r="G805" s="85"/>
      <c r="H805" s="88"/>
      <c r="I805" s="85"/>
      <c r="J805" s="85"/>
      <c r="K805" s="88"/>
      <c r="L805" s="86"/>
      <c r="M805" s="86"/>
      <c r="N805" s="87"/>
      <c r="O805" s="86"/>
      <c r="P805" s="86"/>
      <c r="Q805" s="87"/>
    </row>
    <row r="806" spans="1:17" ht="24" customHeight="1">
      <c r="A806" s="91">
        <v>115</v>
      </c>
      <c r="B806" s="92"/>
      <c r="C806" s="108" t="s">
        <v>167</v>
      </c>
      <c r="D806" s="108" t="s">
        <v>180</v>
      </c>
      <c r="E806" s="94" t="s">
        <v>49</v>
      </c>
      <c r="F806" s="95" t="s">
        <v>56</v>
      </c>
      <c r="G806" s="96">
        <v>6280</v>
      </c>
      <c r="H806" s="97">
        <v>6280</v>
      </c>
      <c r="I806" s="95" t="s">
        <v>56</v>
      </c>
      <c r="J806" s="96">
        <v>9280</v>
      </c>
      <c r="K806" s="97">
        <v>9280</v>
      </c>
      <c r="L806" s="98"/>
      <c r="M806" s="98"/>
      <c r="N806" s="99"/>
      <c r="O806" s="98"/>
      <c r="P806" s="98"/>
      <c r="Q806" s="99"/>
    </row>
    <row r="807" spans="1:17" ht="14.45" customHeight="1">
      <c r="A807" s="75">
        <v>116</v>
      </c>
      <c r="B807" s="76"/>
      <c r="C807" s="106" t="s">
        <v>186</v>
      </c>
      <c r="D807" s="106" t="s">
        <v>180</v>
      </c>
      <c r="E807" s="78" t="s">
        <v>49</v>
      </c>
      <c r="F807" s="79" t="s">
        <v>50</v>
      </c>
      <c r="G807" s="79" t="s">
        <v>50</v>
      </c>
      <c r="H807" s="80" t="s">
        <v>50</v>
      </c>
      <c r="I807" s="79"/>
      <c r="J807" s="79"/>
      <c r="K807" s="80"/>
      <c r="L807" s="79"/>
      <c r="M807" s="79"/>
      <c r="N807" s="80"/>
      <c r="O807" s="79"/>
      <c r="P807" s="79"/>
      <c r="Q807" s="80"/>
    </row>
    <row r="808" spans="1:17" ht="60" customHeight="1">
      <c r="A808" s="81">
        <v>116</v>
      </c>
      <c r="B808" s="82"/>
      <c r="C808" s="107" t="s">
        <v>186</v>
      </c>
      <c r="D808" s="107" t="s">
        <v>180</v>
      </c>
      <c r="E808" s="84" t="s">
        <v>49</v>
      </c>
      <c r="F808" s="85"/>
      <c r="G808" s="86" t="s">
        <v>188</v>
      </c>
      <c r="H808" s="87" t="s">
        <v>188</v>
      </c>
      <c r="I808" s="86"/>
      <c r="J808" s="86"/>
      <c r="K808" s="87"/>
      <c r="L808" s="86"/>
      <c r="M808" s="86"/>
      <c r="N808" s="87"/>
      <c r="O808" s="86"/>
      <c r="P808" s="86"/>
      <c r="Q808" s="87"/>
    </row>
    <row r="809" spans="1:17" ht="45" customHeight="1">
      <c r="A809" s="81">
        <v>116</v>
      </c>
      <c r="B809" s="82"/>
      <c r="C809" s="107" t="s">
        <v>186</v>
      </c>
      <c r="D809" s="107" t="s">
        <v>180</v>
      </c>
      <c r="E809" s="84" t="s">
        <v>49</v>
      </c>
      <c r="F809" s="85"/>
      <c r="G809" s="85"/>
      <c r="H809" s="88"/>
      <c r="I809" s="86"/>
      <c r="J809" s="86"/>
      <c r="K809" s="87"/>
      <c r="L809" s="86"/>
      <c r="M809" s="86"/>
      <c r="N809" s="87"/>
      <c r="O809" s="86"/>
      <c r="P809" s="86"/>
      <c r="Q809" s="87"/>
    </row>
    <row r="810" spans="1:17" ht="14.45" customHeight="1">
      <c r="A810" s="81">
        <v>116</v>
      </c>
      <c r="B810" s="82"/>
      <c r="C810" s="107" t="s">
        <v>186</v>
      </c>
      <c r="D810" s="107" t="s">
        <v>180</v>
      </c>
      <c r="E810" s="84" t="s">
        <v>49</v>
      </c>
      <c r="F810" s="89">
        <v>33</v>
      </c>
      <c r="G810" s="89">
        <v>42</v>
      </c>
      <c r="H810" s="88"/>
      <c r="I810" s="86"/>
      <c r="J810" s="86"/>
      <c r="K810" s="87"/>
      <c r="L810" s="86"/>
      <c r="M810" s="86"/>
      <c r="N810" s="87"/>
      <c r="O810" s="86"/>
      <c r="P810" s="86"/>
      <c r="Q810" s="87"/>
    </row>
    <row r="811" spans="1:17" ht="45" customHeight="1">
      <c r="A811" s="81">
        <v>116</v>
      </c>
      <c r="B811" s="82"/>
      <c r="C811" s="107" t="s">
        <v>186</v>
      </c>
      <c r="D811" s="107" t="s">
        <v>180</v>
      </c>
      <c r="E811" s="84" t="s">
        <v>49</v>
      </c>
      <c r="F811" s="85"/>
      <c r="G811" s="85"/>
      <c r="H811" s="88"/>
      <c r="I811" s="86"/>
      <c r="J811" s="86"/>
      <c r="K811" s="87"/>
      <c r="L811" s="86"/>
      <c r="M811" s="86"/>
      <c r="N811" s="87"/>
      <c r="O811" s="86"/>
      <c r="P811" s="86"/>
      <c r="Q811" s="87"/>
    </row>
    <row r="812" spans="1:17" ht="14.45" customHeight="1">
      <c r="A812" s="81">
        <v>116</v>
      </c>
      <c r="B812" s="82"/>
      <c r="C812" s="107" t="s">
        <v>186</v>
      </c>
      <c r="D812" s="107" t="s">
        <v>180</v>
      </c>
      <c r="E812" s="84" t="s">
        <v>49</v>
      </c>
      <c r="F812" s="85"/>
      <c r="G812" s="85"/>
      <c r="H812" s="88"/>
      <c r="I812" s="86"/>
      <c r="J812" s="86"/>
      <c r="K812" s="87"/>
      <c r="L812" s="86"/>
      <c r="M812" s="86"/>
      <c r="N812" s="87"/>
      <c r="O812" s="86"/>
      <c r="P812" s="86"/>
      <c r="Q812" s="87"/>
    </row>
    <row r="813" spans="1:17" ht="24" customHeight="1">
      <c r="A813" s="91">
        <v>116</v>
      </c>
      <c r="B813" s="92"/>
      <c r="C813" s="108" t="s">
        <v>186</v>
      </c>
      <c r="D813" s="108" t="s">
        <v>180</v>
      </c>
      <c r="E813" s="94" t="s">
        <v>49</v>
      </c>
      <c r="F813" s="95" t="s">
        <v>56</v>
      </c>
      <c r="G813" s="96">
        <v>2640</v>
      </c>
      <c r="H813" s="97">
        <v>2640</v>
      </c>
      <c r="I813" s="98"/>
      <c r="J813" s="98"/>
      <c r="K813" s="99"/>
      <c r="L813" s="98"/>
      <c r="M813" s="98"/>
      <c r="N813" s="99"/>
      <c r="O813" s="98"/>
      <c r="P813" s="98"/>
      <c r="Q813" s="99"/>
    </row>
    <row r="814" spans="1:17" ht="14.45" customHeight="1">
      <c r="A814" s="75">
        <v>117</v>
      </c>
      <c r="B814" s="76"/>
      <c r="C814" s="106" t="s">
        <v>187</v>
      </c>
      <c r="D814" s="106" t="s">
        <v>180</v>
      </c>
      <c r="E814" s="78" t="s">
        <v>49</v>
      </c>
      <c r="F814" s="79" t="s">
        <v>50</v>
      </c>
      <c r="G814" s="79" t="s">
        <v>50</v>
      </c>
      <c r="H814" s="80" t="s">
        <v>50</v>
      </c>
      <c r="I814" s="79"/>
      <c r="J814" s="79"/>
      <c r="K814" s="80"/>
      <c r="L814" s="79"/>
      <c r="M814" s="79"/>
      <c r="N814" s="80"/>
      <c r="O814" s="79"/>
      <c r="P814" s="79"/>
      <c r="Q814" s="80"/>
    </row>
    <row r="815" spans="1:17" ht="60" customHeight="1">
      <c r="A815" s="81">
        <v>117</v>
      </c>
      <c r="B815" s="82"/>
      <c r="C815" s="107" t="s">
        <v>187</v>
      </c>
      <c r="D815" s="107" t="s">
        <v>180</v>
      </c>
      <c r="E815" s="84" t="s">
        <v>49</v>
      </c>
      <c r="F815" s="85"/>
      <c r="G815" s="86" t="s">
        <v>189</v>
      </c>
      <c r="H815" s="87" t="s">
        <v>189</v>
      </c>
      <c r="I815" s="86"/>
      <c r="J815" s="86"/>
      <c r="K815" s="87"/>
      <c r="L815" s="86"/>
      <c r="M815" s="86"/>
      <c r="N815" s="87"/>
      <c r="O815" s="86"/>
      <c r="P815" s="86"/>
      <c r="Q815" s="87"/>
    </row>
    <row r="816" spans="1:17" ht="45" customHeight="1">
      <c r="A816" s="81">
        <v>117</v>
      </c>
      <c r="B816" s="82"/>
      <c r="C816" s="107" t="s">
        <v>187</v>
      </c>
      <c r="D816" s="107" t="s">
        <v>180</v>
      </c>
      <c r="E816" s="84" t="s">
        <v>49</v>
      </c>
      <c r="F816" s="85"/>
      <c r="G816" s="85"/>
      <c r="H816" s="88"/>
      <c r="I816" s="86"/>
      <c r="J816" s="86"/>
      <c r="K816" s="87"/>
      <c r="L816" s="86"/>
      <c r="M816" s="86"/>
      <c r="N816" s="87"/>
      <c r="O816" s="86"/>
      <c r="P816" s="86"/>
      <c r="Q816" s="87"/>
    </row>
    <row r="817" spans="1:17" ht="14.45" customHeight="1">
      <c r="A817" s="81">
        <v>117</v>
      </c>
      <c r="B817" s="82"/>
      <c r="C817" s="107" t="s">
        <v>187</v>
      </c>
      <c r="D817" s="107" t="s">
        <v>180</v>
      </c>
      <c r="E817" s="84" t="s">
        <v>49</v>
      </c>
      <c r="F817" s="89">
        <v>33</v>
      </c>
      <c r="G817" s="89">
        <v>42</v>
      </c>
      <c r="H817" s="88"/>
      <c r="I817" s="86"/>
      <c r="J817" s="86"/>
      <c r="K817" s="87"/>
      <c r="L817" s="86"/>
      <c r="M817" s="86"/>
      <c r="N817" s="87"/>
      <c r="O817" s="86"/>
      <c r="P817" s="86"/>
      <c r="Q817" s="87"/>
    </row>
    <row r="818" spans="1:17" ht="45" customHeight="1">
      <c r="A818" s="81">
        <v>117</v>
      </c>
      <c r="B818" s="82"/>
      <c r="C818" s="107" t="s">
        <v>187</v>
      </c>
      <c r="D818" s="107" t="s">
        <v>180</v>
      </c>
      <c r="E818" s="84" t="s">
        <v>49</v>
      </c>
      <c r="F818" s="85"/>
      <c r="G818" s="85"/>
      <c r="H818" s="88"/>
      <c r="I818" s="86"/>
      <c r="J818" s="86"/>
      <c r="K818" s="87"/>
      <c r="L818" s="86"/>
      <c r="M818" s="86"/>
      <c r="N818" s="87"/>
      <c r="O818" s="86"/>
      <c r="P818" s="86"/>
      <c r="Q818" s="87"/>
    </row>
    <row r="819" spans="1:17" ht="14.45" customHeight="1">
      <c r="A819" s="81">
        <v>117</v>
      </c>
      <c r="B819" s="82"/>
      <c r="C819" s="107" t="s">
        <v>187</v>
      </c>
      <c r="D819" s="107" t="s">
        <v>180</v>
      </c>
      <c r="E819" s="84" t="s">
        <v>49</v>
      </c>
      <c r="F819" s="85"/>
      <c r="G819" s="85"/>
      <c r="H819" s="88"/>
      <c r="I819" s="86"/>
      <c r="J819" s="86"/>
      <c r="K819" s="87"/>
      <c r="L819" s="86"/>
      <c r="M819" s="86"/>
      <c r="N819" s="87"/>
      <c r="O819" s="86"/>
      <c r="P819" s="86"/>
      <c r="Q819" s="87"/>
    </row>
    <row r="820" spans="1:17" ht="24" customHeight="1">
      <c r="A820" s="91">
        <v>117</v>
      </c>
      <c r="B820" s="92"/>
      <c r="C820" s="108" t="s">
        <v>187</v>
      </c>
      <c r="D820" s="108" t="s">
        <v>180</v>
      </c>
      <c r="E820" s="94" t="s">
        <v>49</v>
      </c>
      <c r="F820" s="95" t="s">
        <v>56</v>
      </c>
      <c r="G820" s="96">
        <v>2640</v>
      </c>
      <c r="H820" s="97">
        <v>2640</v>
      </c>
      <c r="I820" s="98"/>
      <c r="J820" s="98"/>
      <c r="K820" s="99"/>
      <c r="L820" s="98"/>
      <c r="M820" s="98"/>
      <c r="N820" s="99"/>
      <c r="O820" s="98"/>
      <c r="P820" s="98"/>
      <c r="Q820" s="99"/>
    </row>
    <row r="821" spans="1:17" ht="14.45" customHeight="1">
      <c r="A821" s="75">
        <v>118</v>
      </c>
      <c r="B821" s="76"/>
      <c r="C821" s="106" t="s">
        <v>190</v>
      </c>
      <c r="D821" s="106" t="s">
        <v>180</v>
      </c>
      <c r="E821" s="78" t="s">
        <v>49</v>
      </c>
      <c r="F821" s="79" t="s">
        <v>50</v>
      </c>
      <c r="G821" s="79" t="s">
        <v>50</v>
      </c>
      <c r="H821" s="80" t="s">
        <v>50</v>
      </c>
      <c r="I821" s="79"/>
      <c r="J821" s="79"/>
      <c r="K821" s="80"/>
      <c r="L821" s="79"/>
      <c r="M821" s="79"/>
      <c r="N821" s="80"/>
      <c r="O821" s="79"/>
      <c r="P821" s="79"/>
      <c r="Q821" s="80"/>
    </row>
    <row r="822" spans="1:17" ht="60" customHeight="1">
      <c r="A822" s="81">
        <v>118</v>
      </c>
      <c r="B822" s="82"/>
      <c r="C822" s="107" t="s">
        <v>190</v>
      </c>
      <c r="D822" s="107" t="s">
        <v>180</v>
      </c>
      <c r="E822" s="84" t="s">
        <v>49</v>
      </c>
      <c r="F822" s="85"/>
      <c r="G822" s="86" t="s">
        <v>191</v>
      </c>
      <c r="H822" s="87" t="s">
        <v>191</v>
      </c>
      <c r="I822" s="86"/>
      <c r="J822" s="86"/>
      <c r="K822" s="87"/>
      <c r="L822" s="86"/>
      <c r="M822" s="86"/>
      <c r="N822" s="87"/>
      <c r="O822" s="86"/>
      <c r="P822" s="86"/>
      <c r="Q822" s="87"/>
    </row>
    <row r="823" spans="1:17" ht="45" customHeight="1">
      <c r="A823" s="81">
        <v>118</v>
      </c>
      <c r="B823" s="82"/>
      <c r="C823" s="107" t="s">
        <v>190</v>
      </c>
      <c r="D823" s="107" t="s">
        <v>180</v>
      </c>
      <c r="E823" s="84" t="s">
        <v>49</v>
      </c>
      <c r="F823" s="85"/>
      <c r="G823" s="85"/>
      <c r="H823" s="88"/>
      <c r="I823" s="86"/>
      <c r="J823" s="86"/>
      <c r="K823" s="87"/>
      <c r="L823" s="86"/>
      <c r="M823" s="86"/>
      <c r="N823" s="87"/>
      <c r="O823" s="86"/>
      <c r="P823" s="86"/>
      <c r="Q823" s="87"/>
    </row>
    <row r="824" spans="1:17" ht="14.45" customHeight="1">
      <c r="A824" s="81">
        <v>118</v>
      </c>
      <c r="B824" s="82"/>
      <c r="C824" s="107" t="s">
        <v>190</v>
      </c>
      <c r="D824" s="107" t="s">
        <v>180</v>
      </c>
      <c r="E824" s="84" t="s">
        <v>49</v>
      </c>
      <c r="F824" s="89">
        <v>38</v>
      </c>
      <c r="G824" s="89">
        <v>29</v>
      </c>
      <c r="H824" s="88"/>
      <c r="I824" s="86"/>
      <c r="J824" s="86"/>
      <c r="K824" s="87"/>
      <c r="L824" s="86"/>
      <c r="M824" s="86"/>
      <c r="N824" s="87"/>
      <c r="O824" s="86"/>
      <c r="P824" s="86"/>
      <c r="Q824" s="87"/>
    </row>
    <row r="825" spans="1:17" ht="45" customHeight="1">
      <c r="A825" s="81">
        <v>118</v>
      </c>
      <c r="B825" s="82"/>
      <c r="C825" s="107" t="s">
        <v>190</v>
      </c>
      <c r="D825" s="107" t="s">
        <v>180</v>
      </c>
      <c r="E825" s="84" t="s">
        <v>49</v>
      </c>
      <c r="F825" s="85"/>
      <c r="G825" s="85"/>
      <c r="H825" s="88"/>
      <c r="I825" s="86"/>
      <c r="J825" s="86"/>
      <c r="K825" s="87"/>
      <c r="L825" s="86"/>
      <c r="M825" s="86"/>
      <c r="N825" s="87"/>
      <c r="O825" s="86"/>
      <c r="P825" s="86"/>
      <c r="Q825" s="87"/>
    </row>
    <row r="826" spans="1:17" ht="14.45" customHeight="1">
      <c r="A826" s="81">
        <v>118</v>
      </c>
      <c r="B826" s="82"/>
      <c r="C826" s="107" t="s">
        <v>190</v>
      </c>
      <c r="D826" s="107" t="s">
        <v>180</v>
      </c>
      <c r="E826" s="84" t="s">
        <v>49</v>
      </c>
      <c r="F826" s="85"/>
      <c r="G826" s="85"/>
      <c r="H826" s="88"/>
      <c r="I826" s="86"/>
      <c r="J826" s="86"/>
      <c r="K826" s="87"/>
      <c r="L826" s="86"/>
      <c r="M826" s="86"/>
      <c r="N826" s="87"/>
      <c r="O826" s="86"/>
      <c r="P826" s="86"/>
      <c r="Q826" s="87"/>
    </row>
    <row r="827" spans="1:17" ht="24" customHeight="1">
      <c r="A827" s="91">
        <v>118</v>
      </c>
      <c r="B827" s="92"/>
      <c r="C827" s="108" t="s">
        <v>190</v>
      </c>
      <c r="D827" s="108" t="s">
        <v>180</v>
      </c>
      <c r="E827" s="94" t="s">
        <v>49</v>
      </c>
      <c r="F827" s="95" t="s">
        <v>56</v>
      </c>
      <c r="G827" s="96">
        <v>4500</v>
      </c>
      <c r="H827" s="97">
        <v>4500</v>
      </c>
      <c r="I827" s="98"/>
      <c r="J827" s="98"/>
      <c r="K827" s="99"/>
      <c r="L827" s="98"/>
      <c r="M827" s="98"/>
      <c r="N827" s="99"/>
      <c r="O827" s="98"/>
      <c r="P827" s="98"/>
      <c r="Q827" s="99"/>
    </row>
    <row r="828" spans="1:17" ht="14.45" customHeight="1">
      <c r="A828" s="75">
        <v>119</v>
      </c>
      <c r="B828" s="76"/>
      <c r="C828" s="106" t="s">
        <v>181</v>
      </c>
      <c r="D828" s="106" t="s">
        <v>180</v>
      </c>
      <c r="E828" s="78" t="s">
        <v>82</v>
      </c>
      <c r="F828" s="79" t="s">
        <v>50</v>
      </c>
      <c r="G828" s="79" t="s">
        <v>50</v>
      </c>
      <c r="H828" s="80" t="s">
        <v>50</v>
      </c>
      <c r="I828" s="79"/>
      <c r="J828" s="79"/>
      <c r="K828" s="80"/>
      <c r="L828" s="79"/>
      <c r="M828" s="79"/>
      <c r="N828" s="80"/>
      <c r="O828" s="79"/>
      <c r="P828" s="79"/>
      <c r="Q828" s="80"/>
    </row>
    <row r="829" spans="1:17" ht="60" customHeight="1">
      <c r="A829" s="81">
        <v>119</v>
      </c>
      <c r="B829" s="82"/>
      <c r="C829" s="107" t="s">
        <v>181</v>
      </c>
      <c r="D829" s="107" t="s">
        <v>180</v>
      </c>
      <c r="E829" s="84" t="s">
        <v>82</v>
      </c>
      <c r="F829" s="85"/>
      <c r="G829" s="86" t="s">
        <v>192</v>
      </c>
      <c r="H829" s="87" t="s">
        <v>192</v>
      </c>
      <c r="I829" s="86"/>
      <c r="J829" s="86"/>
      <c r="K829" s="87"/>
      <c r="L829" s="86"/>
      <c r="M829" s="86"/>
      <c r="N829" s="87"/>
      <c r="O829" s="86"/>
      <c r="P829" s="86"/>
      <c r="Q829" s="87"/>
    </row>
    <row r="830" spans="1:17" ht="45" customHeight="1">
      <c r="A830" s="81">
        <v>119</v>
      </c>
      <c r="B830" s="82"/>
      <c r="C830" s="107" t="s">
        <v>181</v>
      </c>
      <c r="D830" s="107" t="s">
        <v>180</v>
      </c>
      <c r="E830" s="84" t="s">
        <v>82</v>
      </c>
      <c r="F830" s="85"/>
      <c r="G830" s="85"/>
      <c r="H830" s="88"/>
      <c r="I830" s="86"/>
      <c r="J830" s="86"/>
      <c r="K830" s="87"/>
      <c r="L830" s="86"/>
      <c r="M830" s="86"/>
      <c r="N830" s="87"/>
      <c r="O830" s="86"/>
      <c r="P830" s="86"/>
      <c r="Q830" s="87"/>
    </row>
    <row r="831" spans="1:17" ht="14.45" customHeight="1">
      <c r="A831" s="81">
        <v>119</v>
      </c>
      <c r="B831" s="82"/>
      <c r="C831" s="107" t="s">
        <v>181</v>
      </c>
      <c r="D831" s="107" t="s">
        <v>180</v>
      </c>
      <c r="E831" s="84" t="s">
        <v>82</v>
      </c>
      <c r="F831" s="89">
        <v>29</v>
      </c>
      <c r="G831" s="89">
        <v>38</v>
      </c>
      <c r="H831" s="88"/>
      <c r="I831" s="86"/>
      <c r="J831" s="86"/>
      <c r="K831" s="87"/>
      <c r="L831" s="86"/>
      <c r="M831" s="86"/>
      <c r="N831" s="87"/>
      <c r="O831" s="86"/>
      <c r="P831" s="86"/>
      <c r="Q831" s="87"/>
    </row>
    <row r="832" spans="1:17" ht="45" customHeight="1">
      <c r="A832" s="81">
        <v>119</v>
      </c>
      <c r="B832" s="82"/>
      <c r="C832" s="107" t="s">
        <v>181</v>
      </c>
      <c r="D832" s="107" t="s">
        <v>180</v>
      </c>
      <c r="E832" s="84" t="s">
        <v>82</v>
      </c>
      <c r="F832" s="85"/>
      <c r="G832" s="85"/>
      <c r="H832" s="88"/>
      <c r="I832" s="86"/>
      <c r="J832" s="86"/>
      <c r="K832" s="87"/>
      <c r="L832" s="86"/>
      <c r="M832" s="86"/>
      <c r="N832" s="87"/>
      <c r="O832" s="86"/>
      <c r="P832" s="86"/>
      <c r="Q832" s="87"/>
    </row>
    <row r="833" spans="1:17" ht="14.45" customHeight="1">
      <c r="A833" s="81">
        <v>119</v>
      </c>
      <c r="B833" s="82"/>
      <c r="C833" s="107" t="s">
        <v>181</v>
      </c>
      <c r="D833" s="107" t="s">
        <v>180</v>
      </c>
      <c r="E833" s="84" t="s">
        <v>82</v>
      </c>
      <c r="F833" s="85"/>
      <c r="G833" s="85"/>
      <c r="H833" s="88"/>
      <c r="I833" s="86"/>
      <c r="J833" s="86"/>
      <c r="K833" s="87"/>
      <c r="L833" s="86"/>
      <c r="M833" s="86"/>
      <c r="N833" s="87"/>
      <c r="O833" s="86"/>
      <c r="P833" s="86"/>
      <c r="Q833" s="87"/>
    </row>
    <row r="834" spans="1:17" ht="24" customHeight="1">
      <c r="A834" s="91">
        <v>119</v>
      </c>
      <c r="B834" s="92"/>
      <c r="C834" s="108" t="s">
        <v>181</v>
      </c>
      <c r="D834" s="108" t="s">
        <v>180</v>
      </c>
      <c r="E834" s="94" t="s">
        <v>82</v>
      </c>
      <c r="F834" s="95" t="s">
        <v>56</v>
      </c>
      <c r="G834" s="96">
        <v>2360</v>
      </c>
      <c r="H834" s="97">
        <v>2360</v>
      </c>
      <c r="I834" s="98"/>
      <c r="J834" s="98"/>
      <c r="K834" s="99"/>
      <c r="L834" s="98"/>
      <c r="M834" s="98"/>
      <c r="N834" s="99"/>
      <c r="O834" s="98"/>
      <c r="P834" s="98"/>
      <c r="Q834" s="99"/>
    </row>
    <row r="835" spans="1:17" ht="14.45" customHeight="1">
      <c r="A835" s="75">
        <v>120</v>
      </c>
      <c r="B835" s="76"/>
      <c r="C835" s="106" t="s">
        <v>182</v>
      </c>
      <c r="D835" s="106" t="s">
        <v>180</v>
      </c>
      <c r="E835" s="78" t="s">
        <v>82</v>
      </c>
      <c r="F835" s="79" t="s">
        <v>50</v>
      </c>
      <c r="G835" s="79" t="s">
        <v>50</v>
      </c>
      <c r="H835" s="80" t="s">
        <v>50</v>
      </c>
      <c r="I835" s="79"/>
      <c r="J835" s="79"/>
      <c r="K835" s="80"/>
      <c r="L835" s="79"/>
      <c r="M835" s="79"/>
      <c r="N835" s="80"/>
      <c r="O835" s="79"/>
      <c r="P835" s="79"/>
      <c r="Q835" s="80"/>
    </row>
    <row r="836" spans="1:17" ht="60" customHeight="1">
      <c r="A836" s="81">
        <v>120</v>
      </c>
      <c r="B836" s="82"/>
      <c r="C836" s="107" t="s">
        <v>182</v>
      </c>
      <c r="D836" s="107" t="s">
        <v>180</v>
      </c>
      <c r="E836" s="84" t="s">
        <v>82</v>
      </c>
      <c r="F836" s="85"/>
      <c r="G836" s="86" t="s">
        <v>192</v>
      </c>
      <c r="H836" s="87" t="s">
        <v>192</v>
      </c>
      <c r="I836" s="86"/>
      <c r="J836" s="86"/>
      <c r="K836" s="87"/>
      <c r="L836" s="86"/>
      <c r="M836" s="86"/>
      <c r="N836" s="87"/>
      <c r="O836" s="86"/>
      <c r="P836" s="86"/>
      <c r="Q836" s="87"/>
    </row>
    <row r="837" spans="1:17" ht="45" customHeight="1">
      <c r="A837" s="81">
        <v>120</v>
      </c>
      <c r="B837" s="82"/>
      <c r="C837" s="107" t="s">
        <v>182</v>
      </c>
      <c r="D837" s="107" t="s">
        <v>180</v>
      </c>
      <c r="E837" s="84" t="s">
        <v>82</v>
      </c>
      <c r="F837" s="85"/>
      <c r="G837" s="85"/>
      <c r="H837" s="88"/>
      <c r="I837" s="86"/>
      <c r="J837" s="86"/>
      <c r="K837" s="87"/>
      <c r="L837" s="86"/>
      <c r="M837" s="86"/>
      <c r="N837" s="87"/>
      <c r="O837" s="86"/>
      <c r="P837" s="86"/>
      <c r="Q837" s="87"/>
    </row>
    <row r="838" spans="1:17" ht="14.45" customHeight="1">
      <c r="A838" s="81">
        <v>120</v>
      </c>
      <c r="B838" s="82"/>
      <c r="C838" s="107" t="s">
        <v>182</v>
      </c>
      <c r="D838" s="107" t="s">
        <v>180</v>
      </c>
      <c r="E838" s="84" t="s">
        <v>82</v>
      </c>
      <c r="F838" s="89">
        <v>29</v>
      </c>
      <c r="G838" s="89">
        <v>38</v>
      </c>
      <c r="H838" s="88"/>
      <c r="I838" s="86"/>
      <c r="J838" s="86"/>
      <c r="K838" s="87"/>
      <c r="L838" s="86"/>
      <c r="M838" s="86"/>
      <c r="N838" s="87"/>
      <c r="O838" s="86"/>
      <c r="P838" s="86"/>
      <c r="Q838" s="87"/>
    </row>
    <row r="839" spans="1:17" ht="45" customHeight="1">
      <c r="A839" s="81">
        <v>120</v>
      </c>
      <c r="B839" s="82"/>
      <c r="C839" s="107" t="s">
        <v>182</v>
      </c>
      <c r="D839" s="107" t="s">
        <v>180</v>
      </c>
      <c r="E839" s="84" t="s">
        <v>82</v>
      </c>
      <c r="F839" s="85"/>
      <c r="G839" s="85"/>
      <c r="H839" s="88"/>
      <c r="I839" s="86"/>
      <c r="J839" s="86"/>
      <c r="K839" s="87"/>
      <c r="L839" s="86"/>
      <c r="M839" s="86"/>
      <c r="N839" s="87"/>
      <c r="O839" s="86"/>
      <c r="P839" s="86"/>
      <c r="Q839" s="87"/>
    </row>
    <row r="840" spans="1:17" ht="14.45" customHeight="1">
      <c r="A840" s="81">
        <v>120</v>
      </c>
      <c r="B840" s="82"/>
      <c r="C840" s="107" t="s">
        <v>182</v>
      </c>
      <c r="D840" s="107" t="s">
        <v>180</v>
      </c>
      <c r="E840" s="84" t="s">
        <v>82</v>
      </c>
      <c r="F840" s="85"/>
      <c r="G840" s="85"/>
      <c r="H840" s="88"/>
      <c r="I840" s="86"/>
      <c r="J840" s="86"/>
      <c r="K840" s="87"/>
      <c r="L840" s="86"/>
      <c r="M840" s="86"/>
      <c r="N840" s="87"/>
      <c r="O840" s="86"/>
      <c r="P840" s="86"/>
      <c r="Q840" s="87"/>
    </row>
    <row r="841" spans="1:17" ht="24" customHeight="1">
      <c r="A841" s="91">
        <v>120</v>
      </c>
      <c r="B841" s="92"/>
      <c r="C841" s="108" t="s">
        <v>182</v>
      </c>
      <c r="D841" s="108" t="s">
        <v>180</v>
      </c>
      <c r="E841" s="94" t="s">
        <v>82</v>
      </c>
      <c r="F841" s="95" t="s">
        <v>56</v>
      </c>
      <c r="G841" s="96">
        <v>2360</v>
      </c>
      <c r="H841" s="97">
        <v>2360</v>
      </c>
      <c r="I841" s="98"/>
      <c r="J841" s="98"/>
      <c r="K841" s="99"/>
      <c r="L841" s="98"/>
      <c r="M841" s="98"/>
      <c r="N841" s="99"/>
      <c r="O841" s="98"/>
      <c r="P841" s="98"/>
      <c r="Q841" s="99"/>
    </row>
    <row r="842" spans="1:17" ht="14.45" customHeight="1">
      <c r="A842" s="75">
        <v>121</v>
      </c>
      <c r="B842" s="76"/>
      <c r="C842" s="106" t="s">
        <v>185</v>
      </c>
      <c r="D842" s="106" t="s">
        <v>180</v>
      </c>
      <c r="E842" s="78" t="s">
        <v>69</v>
      </c>
      <c r="F842" s="79" t="s">
        <v>50</v>
      </c>
      <c r="G842" s="79" t="s">
        <v>50</v>
      </c>
      <c r="H842" s="80" t="s">
        <v>50</v>
      </c>
      <c r="I842" s="79"/>
      <c r="J842" s="79"/>
      <c r="K842" s="80"/>
      <c r="L842" s="79"/>
      <c r="M842" s="79"/>
      <c r="N842" s="80"/>
      <c r="O842" s="79"/>
      <c r="P842" s="79"/>
      <c r="Q842" s="80"/>
    </row>
    <row r="843" spans="1:17" ht="60" customHeight="1">
      <c r="A843" s="81">
        <v>121</v>
      </c>
      <c r="B843" s="82"/>
      <c r="C843" s="107" t="s">
        <v>185</v>
      </c>
      <c r="D843" s="107" t="s">
        <v>180</v>
      </c>
      <c r="E843" s="84" t="s">
        <v>69</v>
      </c>
      <c r="F843" s="85"/>
      <c r="G843" s="86" t="s">
        <v>193</v>
      </c>
      <c r="H843" s="87" t="s">
        <v>193</v>
      </c>
      <c r="I843" s="86"/>
      <c r="J843" s="86"/>
      <c r="K843" s="87"/>
      <c r="L843" s="86"/>
      <c r="M843" s="86"/>
      <c r="N843" s="87"/>
      <c r="O843" s="86"/>
      <c r="P843" s="86"/>
      <c r="Q843" s="87"/>
    </row>
    <row r="844" spans="1:17" ht="45" customHeight="1">
      <c r="A844" s="81">
        <v>121</v>
      </c>
      <c r="B844" s="82"/>
      <c r="C844" s="107" t="s">
        <v>185</v>
      </c>
      <c r="D844" s="107" t="s">
        <v>180</v>
      </c>
      <c r="E844" s="84" t="s">
        <v>69</v>
      </c>
      <c r="F844" s="85"/>
      <c r="G844" s="85"/>
      <c r="H844" s="88"/>
      <c r="I844" s="86"/>
      <c r="J844" s="86"/>
      <c r="K844" s="87"/>
      <c r="L844" s="86"/>
      <c r="M844" s="86"/>
      <c r="N844" s="87"/>
      <c r="O844" s="86"/>
      <c r="P844" s="86"/>
      <c r="Q844" s="87"/>
    </row>
    <row r="845" spans="1:17" ht="14.45" customHeight="1">
      <c r="A845" s="81">
        <v>121</v>
      </c>
      <c r="B845" s="82"/>
      <c r="C845" s="107" t="s">
        <v>185</v>
      </c>
      <c r="D845" s="107" t="s">
        <v>180</v>
      </c>
      <c r="E845" s="84" t="s">
        <v>69</v>
      </c>
      <c r="F845" s="89">
        <v>64</v>
      </c>
      <c r="G845" s="85"/>
      <c r="H845" s="88"/>
      <c r="I845" s="86"/>
      <c r="J845" s="86"/>
      <c r="K845" s="87"/>
      <c r="L845" s="86"/>
      <c r="M845" s="86"/>
      <c r="N845" s="87"/>
      <c r="O845" s="86"/>
      <c r="P845" s="86"/>
      <c r="Q845" s="87"/>
    </row>
    <row r="846" spans="1:17" ht="45" customHeight="1">
      <c r="A846" s="81">
        <v>121</v>
      </c>
      <c r="B846" s="82"/>
      <c r="C846" s="107" t="s">
        <v>185</v>
      </c>
      <c r="D846" s="107" t="s">
        <v>180</v>
      </c>
      <c r="E846" s="84" t="s">
        <v>69</v>
      </c>
      <c r="F846" s="85"/>
      <c r="G846" s="85"/>
      <c r="H846" s="88"/>
      <c r="I846" s="86"/>
      <c r="J846" s="86"/>
      <c r="K846" s="87"/>
      <c r="L846" s="86"/>
      <c r="M846" s="86"/>
      <c r="N846" s="87"/>
      <c r="O846" s="86"/>
      <c r="P846" s="86"/>
      <c r="Q846" s="87"/>
    </row>
    <row r="847" spans="1:17" ht="14.45" customHeight="1">
      <c r="A847" s="81">
        <v>121</v>
      </c>
      <c r="B847" s="82"/>
      <c r="C847" s="107" t="s">
        <v>185</v>
      </c>
      <c r="D847" s="107" t="s">
        <v>180</v>
      </c>
      <c r="E847" s="84" t="s">
        <v>69</v>
      </c>
      <c r="F847" s="85"/>
      <c r="G847" s="85"/>
      <c r="H847" s="88"/>
      <c r="I847" s="86"/>
      <c r="J847" s="86"/>
      <c r="K847" s="87"/>
      <c r="L847" s="86"/>
      <c r="M847" s="86"/>
      <c r="N847" s="87"/>
      <c r="O847" s="86"/>
      <c r="P847" s="86"/>
      <c r="Q847" s="87"/>
    </row>
    <row r="848" spans="1:17" ht="24" customHeight="1">
      <c r="A848" s="91">
        <v>121</v>
      </c>
      <c r="B848" s="92"/>
      <c r="C848" s="108" t="s">
        <v>185</v>
      </c>
      <c r="D848" s="108" t="s">
        <v>180</v>
      </c>
      <c r="E848" s="94" t="s">
        <v>69</v>
      </c>
      <c r="F848" s="95" t="s">
        <v>56</v>
      </c>
      <c r="G848" s="96">
        <v>2250</v>
      </c>
      <c r="H848" s="97">
        <v>2250</v>
      </c>
      <c r="I848" s="98"/>
      <c r="J848" s="98"/>
      <c r="K848" s="99"/>
      <c r="L848" s="98"/>
      <c r="M848" s="98"/>
      <c r="N848" s="99"/>
      <c r="O848" s="98"/>
      <c r="P848" s="98"/>
      <c r="Q848" s="99"/>
    </row>
    <row r="849" spans="1:17" ht="14.45" customHeight="1">
      <c r="A849" s="75">
        <v>122</v>
      </c>
      <c r="B849" s="76"/>
      <c r="C849" s="106" t="s">
        <v>183</v>
      </c>
      <c r="D849" s="106" t="s">
        <v>180</v>
      </c>
      <c r="E849" s="78" t="s">
        <v>98</v>
      </c>
      <c r="F849" s="79" t="s">
        <v>50</v>
      </c>
      <c r="G849" s="79" t="s">
        <v>50</v>
      </c>
      <c r="H849" s="80" t="s">
        <v>50</v>
      </c>
      <c r="I849" s="79"/>
      <c r="J849" s="79"/>
      <c r="K849" s="80"/>
      <c r="L849" s="79"/>
      <c r="M849" s="79"/>
      <c r="N849" s="80"/>
      <c r="O849" s="79"/>
      <c r="P849" s="79"/>
      <c r="Q849" s="80"/>
    </row>
    <row r="850" spans="1:17" ht="60" customHeight="1">
      <c r="A850" s="81">
        <v>122</v>
      </c>
      <c r="B850" s="82"/>
      <c r="C850" s="107" t="s">
        <v>183</v>
      </c>
      <c r="D850" s="107" t="s">
        <v>180</v>
      </c>
      <c r="E850" s="84" t="s">
        <v>98</v>
      </c>
      <c r="F850" s="85"/>
      <c r="G850" s="86" t="s">
        <v>194</v>
      </c>
      <c r="H850" s="87" t="s">
        <v>194</v>
      </c>
      <c r="I850" s="86"/>
      <c r="J850" s="86"/>
      <c r="K850" s="87"/>
      <c r="L850" s="86"/>
      <c r="M850" s="86"/>
      <c r="N850" s="87"/>
      <c r="O850" s="86"/>
      <c r="P850" s="86"/>
      <c r="Q850" s="87"/>
    </row>
    <row r="851" spans="1:17" ht="45" customHeight="1">
      <c r="A851" s="81">
        <v>122</v>
      </c>
      <c r="B851" s="82"/>
      <c r="C851" s="107" t="s">
        <v>183</v>
      </c>
      <c r="D851" s="107" t="s">
        <v>180</v>
      </c>
      <c r="E851" s="84" t="s">
        <v>98</v>
      </c>
      <c r="F851" s="85"/>
      <c r="G851" s="85"/>
      <c r="H851" s="88"/>
      <c r="I851" s="86"/>
      <c r="J851" s="86"/>
      <c r="K851" s="87"/>
      <c r="L851" s="86"/>
      <c r="M851" s="86"/>
      <c r="N851" s="87"/>
      <c r="O851" s="86"/>
      <c r="P851" s="86"/>
      <c r="Q851" s="87"/>
    </row>
    <row r="852" spans="1:17" ht="14.45" customHeight="1">
      <c r="A852" s="81">
        <v>122</v>
      </c>
      <c r="B852" s="82"/>
      <c r="C852" s="107" t="s">
        <v>183</v>
      </c>
      <c r="D852" s="107" t="s">
        <v>180</v>
      </c>
      <c r="E852" s="84" t="s">
        <v>98</v>
      </c>
      <c r="F852" s="89">
        <v>53</v>
      </c>
      <c r="G852" s="85"/>
      <c r="H852" s="88"/>
      <c r="I852" s="86"/>
      <c r="J852" s="86"/>
      <c r="K852" s="87"/>
      <c r="L852" s="86"/>
      <c r="M852" s="86"/>
      <c r="N852" s="87"/>
      <c r="O852" s="86"/>
      <c r="P852" s="86"/>
      <c r="Q852" s="87"/>
    </row>
    <row r="853" spans="1:17" ht="45" customHeight="1">
      <c r="A853" s="81">
        <v>122</v>
      </c>
      <c r="B853" s="82"/>
      <c r="C853" s="107" t="s">
        <v>183</v>
      </c>
      <c r="D853" s="107" t="s">
        <v>180</v>
      </c>
      <c r="E853" s="84" t="s">
        <v>98</v>
      </c>
      <c r="F853" s="85"/>
      <c r="G853" s="85"/>
      <c r="H853" s="88"/>
      <c r="I853" s="86"/>
      <c r="J853" s="86"/>
      <c r="K853" s="87"/>
      <c r="L853" s="86"/>
      <c r="M853" s="86"/>
      <c r="N853" s="87"/>
      <c r="O853" s="86"/>
      <c r="P853" s="86"/>
      <c r="Q853" s="87"/>
    </row>
    <row r="854" spans="1:17" ht="14.45" customHeight="1">
      <c r="A854" s="81">
        <v>122</v>
      </c>
      <c r="B854" s="82"/>
      <c r="C854" s="107" t="s">
        <v>183</v>
      </c>
      <c r="D854" s="107" t="s">
        <v>180</v>
      </c>
      <c r="E854" s="84" t="s">
        <v>98</v>
      </c>
      <c r="F854" s="85"/>
      <c r="G854" s="85"/>
      <c r="H854" s="88"/>
      <c r="I854" s="86"/>
      <c r="J854" s="86"/>
      <c r="K854" s="87"/>
      <c r="L854" s="86"/>
      <c r="M854" s="86"/>
      <c r="N854" s="87"/>
      <c r="O854" s="86"/>
      <c r="P854" s="86"/>
      <c r="Q854" s="87"/>
    </row>
    <row r="855" spans="1:17" ht="24" customHeight="1">
      <c r="A855" s="91">
        <v>122</v>
      </c>
      <c r="B855" s="92"/>
      <c r="C855" s="108" t="s">
        <v>183</v>
      </c>
      <c r="D855" s="108" t="s">
        <v>180</v>
      </c>
      <c r="E855" s="94" t="s">
        <v>98</v>
      </c>
      <c r="F855" s="95" t="s">
        <v>56</v>
      </c>
      <c r="G855" s="96">
        <v>1870</v>
      </c>
      <c r="H855" s="97">
        <v>1870</v>
      </c>
      <c r="I855" s="98"/>
      <c r="J855" s="98"/>
      <c r="K855" s="99"/>
      <c r="L855" s="98"/>
      <c r="M855" s="98"/>
      <c r="N855" s="99"/>
      <c r="O855" s="98"/>
      <c r="P855" s="98"/>
      <c r="Q855" s="99"/>
    </row>
    <row r="856" spans="1:17" ht="14.45" customHeight="1">
      <c r="A856" s="75">
        <v>123</v>
      </c>
      <c r="B856" s="76"/>
      <c r="C856" s="106" t="s">
        <v>184</v>
      </c>
      <c r="D856" s="106" t="s">
        <v>180</v>
      </c>
      <c r="E856" s="78" t="s">
        <v>98</v>
      </c>
      <c r="F856" s="79" t="s">
        <v>50</v>
      </c>
      <c r="G856" s="79" t="s">
        <v>50</v>
      </c>
      <c r="H856" s="80" t="s">
        <v>50</v>
      </c>
      <c r="I856" s="79"/>
      <c r="J856" s="79"/>
      <c r="K856" s="80"/>
      <c r="L856" s="79"/>
      <c r="M856" s="79"/>
      <c r="N856" s="80"/>
      <c r="O856" s="79"/>
      <c r="P856" s="79"/>
      <c r="Q856" s="80"/>
    </row>
    <row r="857" spans="1:17" ht="60" customHeight="1">
      <c r="A857" s="81">
        <v>123</v>
      </c>
      <c r="B857" s="82"/>
      <c r="C857" s="107" t="s">
        <v>184</v>
      </c>
      <c r="D857" s="107" t="s">
        <v>180</v>
      </c>
      <c r="E857" s="84" t="s">
        <v>98</v>
      </c>
      <c r="F857" s="85"/>
      <c r="G857" s="86" t="s">
        <v>195</v>
      </c>
      <c r="H857" s="87" t="s">
        <v>195</v>
      </c>
      <c r="I857" s="86"/>
      <c r="J857" s="86"/>
      <c r="K857" s="87"/>
      <c r="L857" s="86"/>
      <c r="M857" s="86"/>
      <c r="N857" s="87"/>
      <c r="O857" s="86"/>
      <c r="P857" s="86"/>
      <c r="Q857" s="87"/>
    </row>
    <row r="858" spans="1:17" ht="45" customHeight="1">
      <c r="A858" s="81">
        <v>123</v>
      </c>
      <c r="B858" s="82"/>
      <c r="C858" s="107" t="s">
        <v>184</v>
      </c>
      <c r="D858" s="107" t="s">
        <v>180</v>
      </c>
      <c r="E858" s="84" t="s">
        <v>98</v>
      </c>
      <c r="F858" s="85"/>
      <c r="G858" s="85"/>
      <c r="H858" s="88"/>
      <c r="I858" s="86"/>
      <c r="J858" s="86"/>
      <c r="K858" s="87"/>
      <c r="L858" s="86"/>
      <c r="M858" s="86"/>
      <c r="N858" s="87"/>
      <c r="O858" s="86"/>
      <c r="P858" s="86"/>
      <c r="Q858" s="87"/>
    </row>
    <row r="859" spans="1:17" ht="14.45" customHeight="1">
      <c r="A859" s="81">
        <v>123</v>
      </c>
      <c r="B859" s="82"/>
      <c r="C859" s="107" t="s">
        <v>184</v>
      </c>
      <c r="D859" s="107" t="s">
        <v>180</v>
      </c>
      <c r="E859" s="84" t="s">
        <v>98</v>
      </c>
      <c r="F859" s="89">
        <v>53</v>
      </c>
      <c r="G859" s="85"/>
      <c r="H859" s="88"/>
      <c r="I859" s="86"/>
      <c r="J859" s="86"/>
      <c r="K859" s="87"/>
      <c r="L859" s="86"/>
      <c r="M859" s="86"/>
      <c r="N859" s="87"/>
      <c r="O859" s="86"/>
      <c r="P859" s="86"/>
      <c r="Q859" s="87"/>
    </row>
    <row r="860" spans="1:17" ht="45" customHeight="1">
      <c r="A860" s="81">
        <v>123</v>
      </c>
      <c r="B860" s="82"/>
      <c r="C860" s="107" t="s">
        <v>184</v>
      </c>
      <c r="D860" s="107" t="s">
        <v>180</v>
      </c>
      <c r="E860" s="84" t="s">
        <v>98</v>
      </c>
      <c r="F860" s="85"/>
      <c r="G860" s="85"/>
      <c r="H860" s="88"/>
      <c r="I860" s="86"/>
      <c r="J860" s="86"/>
      <c r="K860" s="87"/>
      <c r="L860" s="86"/>
      <c r="M860" s="86"/>
      <c r="N860" s="87"/>
      <c r="O860" s="86"/>
      <c r="P860" s="86"/>
      <c r="Q860" s="87"/>
    </row>
    <row r="861" spans="1:17" ht="14.45" customHeight="1">
      <c r="A861" s="81">
        <v>123</v>
      </c>
      <c r="B861" s="82"/>
      <c r="C861" s="107" t="s">
        <v>184</v>
      </c>
      <c r="D861" s="107" t="s">
        <v>180</v>
      </c>
      <c r="E861" s="84" t="s">
        <v>98</v>
      </c>
      <c r="F861" s="85"/>
      <c r="G861" s="85"/>
      <c r="H861" s="88"/>
      <c r="I861" s="86"/>
      <c r="J861" s="86"/>
      <c r="K861" s="87"/>
      <c r="L861" s="86"/>
      <c r="M861" s="86"/>
      <c r="N861" s="87"/>
      <c r="O861" s="86"/>
      <c r="P861" s="86"/>
      <c r="Q861" s="87"/>
    </row>
    <row r="862" spans="1:17" ht="24" customHeight="1">
      <c r="A862" s="91">
        <v>123</v>
      </c>
      <c r="B862" s="92"/>
      <c r="C862" s="108" t="s">
        <v>184</v>
      </c>
      <c r="D862" s="108" t="s">
        <v>180</v>
      </c>
      <c r="E862" s="94" t="s">
        <v>98</v>
      </c>
      <c r="F862" s="95" t="s">
        <v>56</v>
      </c>
      <c r="G862" s="96">
        <v>1870</v>
      </c>
      <c r="H862" s="97">
        <v>1870</v>
      </c>
      <c r="I862" s="98"/>
      <c r="J862" s="98"/>
      <c r="K862" s="99"/>
      <c r="L862" s="98"/>
      <c r="M862" s="98"/>
      <c r="N862" s="99"/>
      <c r="O862" s="98"/>
      <c r="P862" s="98"/>
      <c r="Q862" s="99"/>
    </row>
    <row r="863" spans="1:17" ht="14.45" customHeight="1">
      <c r="A863" s="75">
        <v>124</v>
      </c>
      <c r="B863" s="76"/>
      <c r="C863" s="106" t="s">
        <v>178</v>
      </c>
      <c r="D863" s="106" t="s">
        <v>180</v>
      </c>
      <c r="E863" s="78" t="s">
        <v>92</v>
      </c>
      <c r="F863" s="79" t="s">
        <v>50</v>
      </c>
      <c r="G863" s="79" t="s">
        <v>50</v>
      </c>
      <c r="H863" s="80" t="s">
        <v>50</v>
      </c>
      <c r="I863" s="79" t="s">
        <v>51</v>
      </c>
      <c r="J863" s="79" t="s">
        <v>51</v>
      </c>
      <c r="K863" s="80" t="s">
        <v>51</v>
      </c>
      <c r="L863" s="79"/>
      <c r="M863" s="79"/>
      <c r="N863" s="80"/>
      <c r="O863" s="79"/>
      <c r="P863" s="79"/>
      <c r="Q863" s="80"/>
    </row>
    <row r="864" spans="1:17" ht="60" customHeight="1">
      <c r="A864" s="81">
        <v>124</v>
      </c>
      <c r="B864" s="82"/>
      <c r="C864" s="107" t="s">
        <v>178</v>
      </c>
      <c r="D864" s="107" t="s">
        <v>180</v>
      </c>
      <c r="E864" s="84" t="s">
        <v>92</v>
      </c>
      <c r="F864" s="85"/>
      <c r="G864" s="86" t="s">
        <v>196</v>
      </c>
      <c r="H864" s="87" t="s">
        <v>196</v>
      </c>
      <c r="I864" s="85"/>
      <c r="J864" s="86"/>
      <c r="K864" s="87"/>
      <c r="L864" s="86"/>
      <c r="M864" s="86"/>
      <c r="N864" s="87"/>
      <c r="O864" s="86"/>
      <c r="P864" s="86"/>
      <c r="Q864" s="87"/>
    </row>
    <row r="865" spans="1:17" ht="45" customHeight="1">
      <c r="A865" s="81">
        <v>124</v>
      </c>
      <c r="B865" s="82"/>
      <c r="C865" s="107" t="s">
        <v>178</v>
      </c>
      <c r="D865" s="107" t="s">
        <v>180</v>
      </c>
      <c r="E865" s="84" t="s">
        <v>92</v>
      </c>
      <c r="F865" s="85"/>
      <c r="G865" s="85"/>
      <c r="H865" s="88"/>
      <c r="I865" s="85"/>
      <c r="J865" s="85"/>
      <c r="K865" s="88"/>
      <c r="L865" s="86"/>
      <c r="M865" s="86"/>
      <c r="N865" s="87"/>
      <c r="O865" s="86"/>
      <c r="P865" s="86"/>
      <c r="Q865" s="87"/>
    </row>
    <row r="866" spans="1:17" ht="14.45" customHeight="1">
      <c r="A866" s="81">
        <v>124</v>
      </c>
      <c r="B866" s="82"/>
      <c r="C866" s="107" t="s">
        <v>178</v>
      </c>
      <c r="D866" s="107" t="s">
        <v>180</v>
      </c>
      <c r="E866" s="84" t="s">
        <v>92</v>
      </c>
      <c r="F866" s="89">
        <v>31</v>
      </c>
      <c r="G866" s="89">
        <v>19</v>
      </c>
      <c r="H866" s="88"/>
      <c r="I866" s="89">
        <v>44</v>
      </c>
      <c r="J866" s="89">
        <v>27</v>
      </c>
      <c r="K866" s="88"/>
      <c r="L866" s="86"/>
      <c r="M866" s="86"/>
      <c r="N866" s="87"/>
      <c r="O866" s="86"/>
      <c r="P866" s="86"/>
      <c r="Q866" s="87"/>
    </row>
    <row r="867" spans="1:17" ht="45" customHeight="1">
      <c r="A867" s="81">
        <v>124</v>
      </c>
      <c r="B867" s="82"/>
      <c r="C867" s="107" t="s">
        <v>178</v>
      </c>
      <c r="D867" s="107" t="s">
        <v>180</v>
      </c>
      <c r="E867" s="84" t="s">
        <v>92</v>
      </c>
      <c r="F867" s="85"/>
      <c r="G867" s="85"/>
      <c r="H867" s="88"/>
      <c r="I867" s="85"/>
      <c r="J867" s="85"/>
      <c r="K867" s="88"/>
      <c r="L867" s="86"/>
      <c r="M867" s="86"/>
      <c r="N867" s="87"/>
      <c r="O867" s="86"/>
      <c r="P867" s="86"/>
      <c r="Q867" s="87"/>
    </row>
    <row r="868" spans="1:17" ht="14.45" customHeight="1">
      <c r="A868" s="81">
        <v>124</v>
      </c>
      <c r="B868" s="82"/>
      <c r="C868" s="107" t="s">
        <v>178</v>
      </c>
      <c r="D868" s="107" t="s">
        <v>180</v>
      </c>
      <c r="E868" s="84" t="s">
        <v>92</v>
      </c>
      <c r="F868" s="85"/>
      <c r="G868" s="85"/>
      <c r="H868" s="88"/>
      <c r="I868" s="85"/>
      <c r="J868" s="85"/>
      <c r="K868" s="88"/>
      <c r="L868" s="86"/>
      <c r="M868" s="86"/>
      <c r="N868" s="87"/>
      <c r="O868" s="86"/>
      <c r="P868" s="86"/>
      <c r="Q868" s="87"/>
    </row>
    <row r="869" spans="1:17" ht="24" customHeight="1">
      <c r="A869" s="91">
        <v>124</v>
      </c>
      <c r="B869" s="92"/>
      <c r="C869" s="108" t="s">
        <v>178</v>
      </c>
      <c r="D869" s="108" t="s">
        <v>180</v>
      </c>
      <c r="E869" s="94" t="s">
        <v>92</v>
      </c>
      <c r="F869" s="95" t="s">
        <v>56</v>
      </c>
      <c r="G869" s="96">
        <v>3340</v>
      </c>
      <c r="H869" s="97">
        <v>3340</v>
      </c>
      <c r="I869" s="95" t="s">
        <v>56</v>
      </c>
      <c r="J869" s="96">
        <v>4740</v>
      </c>
      <c r="K869" s="97">
        <v>4740</v>
      </c>
      <c r="L869" s="98"/>
      <c r="M869" s="98"/>
      <c r="N869" s="99"/>
      <c r="O869" s="98"/>
      <c r="P869" s="98"/>
      <c r="Q869" s="99"/>
    </row>
    <row r="870" spans="1:17" ht="14.45" customHeight="1">
      <c r="A870" s="75">
        <v>125</v>
      </c>
      <c r="B870" s="76"/>
      <c r="C870" s="106" t="s">
        <v>179</v>
      </c>
      <c r="D870" s="106" t="s">
        <v>180</v>
      </c>
      <c r="E870" s="78" t="s">
        <v>109</v>
      </c>
      <c r="F870" s="79" t="s">
        <v>50</v>
      </c>
      <c r="G870" s="79" t="s">
        <v>50</v>
      </c>
      <c r="H870" s="80" t="s">
        <v>50</v>
      </c>
      <c r="I870" s="79"/>
      <c r="J870" s="79"/>
      <c r="K870" s="80"/>
      <c r="L870" s="79"/>
      <c r="M870" s="79"/>
      <c r="N870" s="80"/>
      <c r="O870" s="79"/>
      <c r="P870" s="79"/>
      <c r="Q870" s="80"/>
    </row>
    <row r="871" spans="1:17" ht="60" customHeight="1">
      <c r="A871" s="81">
        <v>125</v>
      </c>
      <c r="B871" s="82"/>
      <c r="C871" s="107" t="s">
        <v>179</v>
      </c>
      <c r="D871" s="107" t="s">
        <v>180</v>
      </c>
      <c r="E871" s="84" t="s">
        <v>109</v>
      </c>
      <c r="F871" s="85"/>
      <c r="G871" s="86" t="s">
        <v>197</v>
      </c>
      <c r="H871" s="87" t="s">
        <v>197</v>
      </c>
      <c r="I871" s="86"/>
      <c r="J871" s="86"/>
      <c r="K871" s="87"/>
      <c r="L871" s="86"/>
      <c r="M871" s="86"/>
      <c r="N871" s="87"/>
      <c r="O871" s="86"/>
      <c r="P871" s="86"/>
      <c r="Q871" s="87"/>
    </row>
    <row r="872" spans="1:17" ht="45" customHeight="1">
      <c r="A872" s="81">
        <v>125</v>
      </c>
      <c r="B872" s="82"/>
      <c r="C872" s="107" t="s">
        <v>179</v>
      </c>
      <c r="D872" s="107" t="s">
        <v>180</v>
      </c>
      <c r="E872" s="84" t="s">
        <v>109</v>
      </c>
      <c r="F872" s="85"/>
      <c r="G872" s="85"/>
      <c r="H872" s="88"/>
      <c r="I872" s="86"/>
      <c r="J872" s="86"/>
      <c r="K872" s="87"/>
      <c r="L872" s="86"/>
      <c r="M872" s="86"/>
      <c r="N872" s="87"/>
      <c r="O872" s="86"/>
      <c r="P872" s="86"/>
      <c r="Q872" s="87"/>
    </row>
    <row r="873" spans="1:17" ht="14.45" customHeight="1">
      <c r="A873" s="81">
        <v>125</v>
      </c>
      <c r="B873" s="82"/>
      <c r="C873" s="107" t="s">
        <v>179</v>
      </c>
      <c r="D873" s="107" t="s">
        <v>180</v>
      </c>
      <c r="E873" s="84" t="s">
        <v>109</v>
      </c>
      <c r="F873" s="89">
        <v>32</v>
      </c>
      <c r="G873" s="85"/>
      <c r="H873" s="88"/>
      <c r="I873" s="86"/>
      <c r="J873" s="86"/>
      <c r="K873" s="87"/>
      <c r="L873" s="86"/>
      <c r="M873" s="86"/>
      <c r="N873" s="87"/>
      <c r="O873" s="86"/>
      <c r="P873" s="86"/>
      <c r="Q873" s="87"/>
    </row>
    <row r="874" spans="1:17" ht="45" customHeight="1">
      <c r="A874" s="81">
        <v>125</v>
      </c>
      <c r="B874" s="82"/>
      <c r="C874" s="107" t="s">
        <v>179</v>
      </c>
      <c r="D874" s="107" t="s">
        <v>180</v>
      </c>
      <c r="E874" s="84" t="s">
        <v>109</v>
      </c>
      <c r="F874" s="85"/>
      <c r="G874" s="85"/>
      <c r="H874" s="88"/>
      <c r="I874" s="86"/>
      <c r="J874" s="86"/>
      <c r="K874" s="87"/>
      <c r="L874" s="86"/>
      <c r="M874" s="86"/>
      <c r="N874" s="87"/>
      <c r="O874" s="86"/>
      <c r="P874" s="86"/>
      <c r="Q874" s="87"/>
    </row>
    <row r="875" spans="1:17" ht="14.45" customHeight="1">
      <c r="A875" s="81">
        <v>125</v>
      </c>
      <c r="B875" s="82"/>
      <c r="C875" s="107" t="s">
        <v>179</v>
      </c>
      <c r="D875" s="107" t="s">
        <v>180</v>
      </c>
      <c r="E875" s="84" t="s">
        <v>109</v>
      </c>
      <c r="F875" s="85"/>
      <c r="G875" s="85"/>
      <c r="H875" s="88"/>
      <c r="I875" s="86"/>
      <c r="J875" s="86"/>
      <c r="K875" s="87"/>
      <c r="L875" s="86"/>
      <c r="M875" s="86"/>
      <c r="N875" s="87"/>
      <c r="O875" s="86"/>
      <c r="P875" s="86"/>
      <c r="Q875" s="87"/>
    </row>
    <row r="876" spans="1:17" ht="24" customHeight="1">
      <c r="A876" s="91">
        <v>125</v>
      </c>
      <c r="B876" s="92"/>
      <c r="C876" s="108" t="s">
        <v>179</v>
      </c>
      <c r="D876" s="108" t="s">
        <v>180</v>
      </c>
      <c r="E876" s="94" t="s">
        <v>109</v>
      </c>
      <c r="F876" s="95" t="s">
        <v>56</v>
      </c>
      <c r="G876" s="96">
        <v>1070</v>
      </c>
      <c r="H876" s="97">
        <v>1070</v>
      </c>
      <c r="I876" s="98"/>
      <c r="J876" s="98"/>
      <c r="K876" s="99"/>
      <c r="L876" s="98"/>
      <c r="M876" s="98"/>
      <c r="N876" s="99"/>
      <c r="O876" s="98"/>
      <c r="P876" s="98"/>
      <c r="Q876" s="99"/>
    </row>
    <row r="877" spans="1:17" ht="14.45" customHeight="1">
      <c r="A877" s="75">
        <v>126</v>
      </c>
      <c r="B877" s="76"/>
      <c r="C877" s="106" t="s">
        <v>196</v>
      </c>
      <c r="D877" s="106" t="s">
        <v>180</v>
      </c>
      <c r="E877" s="78" t="s">
        <v>92</v>
      </c>
      <c r="F877" s="79" t="s">
        <v>50</v>
      </c>
      <c r="G877" s="79" t="s">
        <v>50</v>
      </c>
      <c r="H877" s="80" t="s">
        <v>50</v>
      </c>
      <c r="I877" s="79"/>
      <c r="J877" s="79"/>
      <c r="K877" s="80"/>
      <c r="L877" s="79"/>
      <c r="M877" s="79"/>
      <c r="N877" s="80"/>
      <c r="O877" s="79"/>
      <c r="P877" s="79"/>
      <c r="Q877" s="80"/>
    </row>
    <row r="878" spans="1:17" ht="60" customHeight="1">
      <c r="A878" s="81">
        <v>126</v>
      </c>
      <c r="B878" s="82"/>
      <c r="C878" s="107" t="s">
        <v>196</v>
      </c>
      <c r="D878" s="107" t="s">
        <v>180</v>
      </c>
      <c r="E878" s="84" t="s">
        <v>92</v>
      </c>
      <c r="F878" s="85"/>
      <c r="G878" s="86" t="s">
        <v>198</v>
      </c>
      <c r="H878" s="87" t="s">
        <v>198</v>
      </c>
      <c r="I878" s="86"/>
      <c r="J878" s="86"/>
      <c r="K878" s="87"/>
      <c r="L878" s="86"/>
      <c r="M878" s="86"/>
      <c r="N878" s="87"/>
      <c r="O878" s="86"/>
      <c r="P878" s="86"/>
      <c r="Q878" s="87"/>
    </row>
    <row r="879" spans="1:17" ht="45" customHeight="1">
      <c r="A879" s="81">
        <v>126</v>
      </c>
      <c r="B879" s="82"/>
      <c r="C879" s="107" t="s">
        <v>196</v>
      </c>
      <c r="D879" s="107" t="s">
        <v>180</v>
      </c>
      <c r="E879" s="84" t="s">
        <v>92</v>
      </c>
      <c r="F879" s="85"/>
      <c r="G879" s="85"/>
      <c r="H879" s="88"/>
      <c r="I879" s="86"/>
      <c r="J879" s="86"/>
      <c r="K879" s="87"/>
      <c r="L879" s="86"/>
      <c r="M879" s="86"/>
      <c r="N879" s="87"/>
      <c r="O879" s="86"/>
      <c r="P879" s="86"/>
      <c r="Q879" s="87"/>
    </row>
    <row r="880" spans="1:17" ht="14.45" customHeight="1">
      <c r="A880" s="81">
        <v>126</v>
      </c>
      <c r="B880" s="82"/>
      <c r="C880" s="107" t="s">
        <v>196</v>
      </c>
      <c r="D880" s="107" t="s">
        <v>180</v>
      </c>
      <c r="E880" s="84" t="s">
        <v>92</v>
      </c>
      <c r="F880" s="89">
        <v>11</v>
      </c>
      <c r="G880" s="89">
        <v>12</v>
      </c>
      <c r="H880" s="88"/>
      <c r="I880" s="86"/>
      <c r="J880" s="86"/>
      <c r="K880" s="87"/>
      <c r="L880" s="86"/>
      <c r="M880" s="86"/>
      <c r="N880" s="87"/>
      <c r="O880" s="86"/>
      <c r="P880" s="86"/>
      <c r="Q880" s="87"/>
    </row>
    <row r="881" spans="1:17" ht="45" customHeight="1">
      <c r="A881" s="81">
        <v>126</v>
      </c>
      <c r="B881" s="82"/>
      <c r="C881" s="107" t="s">
        <v>196</v>
      </c>
      <c r="D881" s="107" t="s">
        <v>180</v>
      </c>
      <c r="E881" s="84" t="s">
        <v>92</v>
      </c>
      <c r="F881" s="85"/>
      <c r="G881" s="85"/>
      <c r="H881" s="88"/>
      <c r="I881" s="86"/>
      <c r="J881" s="86"/>
      <c r="K881" s="87"/>
      <c r="L881" s="86"/>
      <c r="M881" s="86"/>
      <c r="N881" s="87"/>
      <c r="O881" s="86"/>
      <c r="P881" s="86"/>
      <c r="Q881" s="87"/>
    </row>
    <row r="882" spans="1:17" ht="14.45" customHeight="1">
      <c r="A882" s="81">
        <v>126</v>
      </c>
      <c r="B882" s="82"/>
      <c r="C882" s="107" t="s">
        <v>196</v>
      </c>
      <c r="D882" s="107" t="s">
        <v>180</v>
      </c>
      <c r="E882" s="84" t="s">
        <v>92</v>
      </c>
      <c r="F882" s="85"/>
      <c r="G882" s="85"/>
      <c r="H882" s="88"/>
      <c r="I882" s="86"/>
      <c r="J882" s="86"/>
      <c r="K882" s="87"/>
      <c r="L882" s="86"/>
      <c r="M882" s="86"/>
      <c r="N882" s="87"/>
      <c r="O882" s="86"/>
      <c r="P882" s="86"/>
      <c r="Q882" s="87"/>
    </row>
    <row r="883" spans="1:17" ht="24" customHeight="1">
      <c r="A883" s="91">
        <v>126</v>
      </c>
      <c r="B883" s="92"/>
      <c r="C883" s="108" t="s">
        <v>196</v>
      </c>
      <c r="D883" s="108" t="s">
        <v>180</v>
      </c>
      <c r="E883" s="94" t="s">
        <v>92</v>
      </c>
      <c r="F883" s="95" t="s">
        <v>56</v>
      </c>
      <c r="G883" s="96">
        <v>810</v>
      </c>
      <c r="H883" s="97">
        <v>810</v>
      </c>
      <c r="I883" s="98"/>
      <c r="J883" s="98"/>
      <c r="K883" s="99"/>
      <c r="L883" s="98"/>
      <c r="M883" s="98"/>
      <c r="N883" s="99"/>
      <c r="O883" s="98"/>
      <c r="P883" s="98"/>
      <c r="Q883" s="99"/>
    </row>
    <row r="884" spans="1:17" ht="14.45" customHeight="1">
      <c r="A884" s="75">
        <v>127</v>
      </c>
      <c r="B884" s="76"/>
      <c r="C884" s="106" t="s">
        <v>199</v>
      </c>
      <c r="D884" s="106" t="s">
        <v>180</v>
      </c>
      <c r="E884" s="78" t="s">
        <v>109</v>
      </c>
      <c r="F884" s="79" t="s">
        <v>50</v>
      </c>
      <c r="G884" s="79" t="s">
        <v>50</v>
      </c>
      <c r="H884" s="80" t="s">
        <v>50</v>
      </c>
      <c r="I884" s="79"/>
      <c r="J884" s="79"/>
      <c r="K884" s="80"/>
      <c r="L884" s="79"/>
      <c r="M884" s="79"/>
      <c r="N884" s="80"/>
      <c r="O884" s="79"/>
      <c r="P884" s="79"/>
      <c r="Q884" s="80"/>
    </row>
    <row r="885" spans="1:17" ht="60" customHeight="1">
      <c r="A885" s="81">
        <v>127</v>
      </c>
      <c r="B885" s="82"/>
      <c r="C885" s="107" t="s">
        <v>199</v>
      </c>
      <c r="D885" s="107" t="s">
        <v>180</v>
      </c>
      <c r="E885" s="84" t="s">
        <v>109</v>
      </c>
      <c r="F885" s="85"/>
      <c r="G885" s="86"/>
      <c r="H885" s="87"/>
      <c r="I885" s="86"/>
      <c r="J885" s="86"/>
      <c r="K885" s="87"/>
      <c r="L885" s="86"/>
      <c r="M885" s="86"/>
      <c r="N885" s="87"/>
      <c r="O885" s="86"/>
      <c r="P885" s="86"/>
      <c r="Q885" s="87"/>
    </row>
    <row r="886" spans="1:17" ht="45" customHeight="1">
      <c r="A886" s="81">
        <v>127</v>
      </c>
      <c r="B886" s="82"/>
      <c r="C886" s="107" t="s">
        <v>199</v>
      </c>
      <c r="D886" s="107" t="s">
        <v>180</v>
      </c>
      <c r="E886" s="84" t="s">
        <v>109</v>
      </c>
      <c r="F886" s="85"/>
      <c r="G886" s="85"/>
      <c r="H886" s="88"/>
      <c r="I886" s="86"/>
      <c r="J886" s="86"/>
      <c r="K886" s="87"/>
      <c r="L886" s="86"/>
      <c r="M886" s="86"/>
      <c r="N886" s="87"/>
      <c r="O886" s="86"/>
      <c r="P886" s="86"/>
      <c r="Q886" s="87"/>
    </row>
    <row r="887" spans="1:17" ht="14.45" customHeight="1">
      <c r="A887" s="81">
        <v>127</v>
      </c>
      <c r="B887" s="82"/>
      <c r="C887" s="107" t="s">
        <v>199</v>
      </c>
      <c r="D887" s="107" t="s">
        <v>180</v>
      </c>
      <c r="E887" s="84" t="s">
        <v>109</v>
      </c>
      <c r="F887" s="89">
        <v>6</v>
      </c>
      <c r="G887" s="89">
        <v>3</v>
      </c>
      <c r="H887" s="88"/>
      <c r="I887" s="86"/>
      <c r="J887" s="86"/>
      <c r="K887" s="87"/>
      <c r="L887" s="86"/>
      <c r="M887" s="86"/>
      <c r="N887" s="87"/>
      <c r="O887" s="86"/>
      <c r="P887" s="86"/>
      <c r="Q887" s="87"/>
    </row>
    <row r="888" spans="1:17" ht="45" customHeight="1">
      <c r="A888" s="81">
        <v>127</v>
      </c>
      <c r="B888" s="82"/>
      <c r="C888" s="107" t="s">
        <v>199</v>
      </c>
      <c r="D888" s="107" t="s">
        <v>180</v>
      </c>
      <c r="E888" s="84" t="s">
        <v>109</v>
      </c>
      <c r="F888" s="85"/>
      <c r="G888" s="85"/>
      <c r="H888" s="88"/>
      <c r="I888" s="86"/>
      <c r="J888" s="86"/>
      <c r="K888" s="87"/>
      <c r="L888" s="86"/>
      <c r="M888" s="86"/>
      <c r="N888" s="87"/>
      <c r="O888" s="86"/>
      <c r="P888" s="86"/>
      <c r="Q888" s="87"/>
    </row>
    <row r="889" spans="1:17" ht="14.45" customHeight="1">
      <c r="A889" s="81">
        <v>127</v>
      </c>
      <c r="B889" s="82"/>
      <c r="C889" s="107" t="s">
        <v>199</v>
      </c>
      <c r="D889" s="107" t="s">
        <v>180</v>
      </c>
      <c r="E889" s="84" t="s">
        <v>109</v>
      </c>
      <c r="F889" s="85"/>
      <c r="G889" s="85"/>
      <c r="H889" s="88"/>
      <c r="I889" s="86"/>
      <c r="J889" s="86"/>
      <c r="K889" s="87"/>
      <c r="L889" s="86"/>
      <c r="M889" s="86"/>
      <c r="N889" s="87"/>
      <c r="O889" s="86"/>
      <c r="P889" s="86"/>
      <c r="Q889" s="87"/>
    </row>
    <row r="890" spans="1:17" ht="24" customHeight="1">
      <c r="A890" s="109">
        <v>127</v>
      </c>
      <c r="B890" s="110"/>
      <c r="C890" s="111" t="s">
        <v>199</v>
      </c>
      <c r="D890" s="111" t="s">
        <v>180</v>
      </c>
      <c r="E890" s="112" t="s">
        <v>109</v>
      </c>
      <c r="F890" s="113" t="s">
        <v>56</v>
      </c>
      <c r="G890" s="114">
        <v>520</v>
      </c>
      <c r="H890" s="115">
        <v>520</v>
      </c>
      <c r="I890" s="116"/>
      <c r="J890" s="116"/>
      <c r="K890" s="117"/>
      <c r="L890" s="116"/>
      <c r="M890" s="116"/>
      <c r="N890" s="117"/>
      <c r="O890" s="116"/>
      <c r="P890" s="116"/>
      <c r="Q890" s="117"/>
    </row>
    <row r="891" spans="1:17" ht="14.45" customHeight="1">
      <c r="A891" s="118">
        <v>128</v>
      </c>
      <c r="B891" s="119"/>
      <c r="C891" s="120" t="s">
        <v>200</v>
      </c>
      <c r="D891" s="120" t="s">
        <v>180</v>
      </c>
      <c r="E891" s="121" t="s">
        <v>109</v>
      </c>
      <c r="F891" s="122" t="s">
        <v>50</v>
      </c>
      <c r="G891" s="122" t="s">
        <v>50</v>
      </c>
      <c r="H891" s="123" t="s">
        <v>50</v>
      </c>
      <c r="I891" s="122"/>
      <c r="J891" s="122"/>
      <c r="K891" s="123"/>
      <c r="L891" s="122"/>
      <c r="M891" s="122"/>
      <c r="N891" s="123"/>
      <c r="O891" s="122"/>
      <c r="P891" s="122"/>
      <c r="Q891" s="124"/>
    </row>
    <row r="892" spans="1:17" ht="60" customHeight="1">
      <c r="A892" s="125">
        <v>128</v>
      </c>
      <c r="B892" s="82"/>
      <c r="C892" s="107" t="s">
        <v>200</v>
      </c>
      <c r="D892" s="107" t="s">
        <v>180</v>
      </c>
      <c r="E892" s="84" t="s">
        <v>109</v>
      </c>
      <c r="F892" s="85"/>
      <c r="G892" s="86"/>
      <c r="H892" s="87"/>
      <c r="I892" s="86"/>
      <c r="J892" s="86"/>
      <c r="K892" s="87"/>
      <c r="L892" s="86"/>
      <c r="M892" s="86"/>
      <c r="N892" s="87"/>
      <c r="O892" s="86"/>
      <c r="P892" s="86"/>
      <c r="Q892" s="126"/>
    </row>
    <row r="893" spans="1:17" ht="45" customHeight="1">
      <c r="A893" s="125">
        <v>128</v>
      </c>
      <c r="B893" s="82"/>
      <c r="C893" s="107" t="s">
        <v>200</v>
      </c>
      <c r="D893" s="107" t="s">
        <v>180</v>
      </c>
      <c r="E893" s="84" t="s">
        <v>109</v>
      </c>
      <c r="F893" s="85"/>
      <c r="G893" s="85"/>
      <c r="H893" s="88"/>
      <c r="I893" s="86"/>
      <c r="J893" s="86"/>
      <c r="K893" s="87"/>
      <c r="L893" s="86"/>
      <c r="M893" s="86"/>
      <c r="N893" s="87"/>
      <c r="O893" s="86"/>
      <c r="P893" s="86"/>
      <c r="Q893" s="126"/>
    </row>
    <row r="894" spans="1:17" ht="14.45" customHeight="1">
      <c r="A894" s="125">
        <v>128</v>
      </c>
      <c r="B894" s="82"/>
      <c r="C894" s="107" t="s">
        <v>200</v>
      </c>
      <c r="D894" s="107" t="s">
        <v>180</v>
      </c>
      <c r="E894" s="84" t="s">
        <v>109</v>
      </c>
      <c r="F894" s="89">
        <v>4</v>
      </c>
      <c r="G894" s="89">
        <v>5</v>
      </c>
      <c r="H894" s="88"/>
      <c r="I894" s="86"/>
      <c r="J894" s="86"/>
      <c r="K894" s="87"/>
      <c r="L894" s="86"/>
      <c r="M894" s="86"/>
      <c r="N894" s="87"/>
      <c r="O894" s="86"/>
      <c r="P894" s="86"/>
      <c r="Q894" s="126"/>
    </row>
    <row r="895" spans="1:17" ht="45" customHeight="1">
      <c r="A895" s="125">
        <v>128</v>
      </c>
      <c r="B895" s="82"/>
      <c r="C895" s="107" t="s">
        <v>200</v>
      </c>
      <c r="D895" s="107" t="s">
        <v>180</v>
      </c>
      <c r="E895" s="84" t="s">
        <v>109</v>
      </c>
      <c r="F895" s="85"/>
      <c r="G895" s="85"/>
      <c r="H895" s="88"/>
      <c r="I895" s="86"/>
      <c r="J895" s="86"/>
      <c r="K895" s="87"/>
      <c r="L895" s="86"/>
      <c r="M895" s="86"/>
      <c r="N895" s="87"/>
      <c r="O895" s="86"/>
      <c r="P895" s="86"/>
      <c r="Q895" s="126"/>
    </row>
    <row r="896" spans="1:17" ht="14.45" customHeight="1">
      <c r="A896" s="125">
        <v>128</v>
      </c>
      <c r="B896" s="82"/>
      <c r="C896" s="107" t="s">
        <v>200</v>
      </c>
      <c r="D896" s="107" t="s">
        <v>180</v>
      </c>
      <c r="E896" s="84" t="s">
        <v>109</v>
      </c>
      <c r="F896" s="85"/>
      <c r="G896" s="85"/>
      <c r="H896" s="88"/>
      <c r="I896" s="86"/>
      <c r="J896" s="86"/>
      <c r="K896" s="87"/>
      <c r="L896" s="86"/>
      <c r="M896" s="86"/>
      <c r="N896" s="87"/>
      <c r="O896" s="86"/>
      <c r="P896" s="86"/>
      <c r="Q896" s="126"/>
    </row>
    <row r="897" spans="1:17" ht="24" customHeight="1">
      <c r="A897" s="127">
        <v>128</v>
      </c>
      <c r="B897" s="128"/>
      <c r="C897" s="129" t="s">
        <v>200</v>
      </c>
      <c r="D897" s="129" t="s">
        <v>180</v>
      </c>
      <c r="E897" s="130" t="s">
        <v>109</v>
      </c>
      <c r="F897" s="131" t="s">
        <v>56</v>
      </c>
      <c r="G897" s="132">
        <v>520</v>
      </c>
      <c r="H897" s="133">
        <v>520</v>
      </c>
      <c r="I897" s="134"/>
      <c r="J897" s="134"/>
      <c r="K897" s="135"/>
      <c r="L897" s="134"/>
      <c r="M897" s="134"/>
      <c r="N897" s="135"/>
      <c r="O897" s="134"/>
      <c r="P897" s="134"/>
      <c r="Q897" s="136"/>
    </row>
    <row r="898" spans="1:17" ht="14.45" customHeight="1"/>
    <row r="899" spans="1:17" ht="60" customHeight="1"/>
    <row r="900" spans="1:17" ht="45" customHeight="1"/>
    <row r="901" spans="1:17" ht="14.45" customHeight="1"/>
    <row r="902" spans="1:17" ht="45" customHeight="1"/>
    <row r="903" spans="1:17" ht="14.45" customHeight="1"/>
    <row r="904" spans="1:17" ht="24" customHeight="1"/>
    <row r="905" spans="1:17" ht="14.45" customHeight="1"/>
    <row r="906" spans="1:17" ht="60" customHeight="1"/>
    <row r="907" spans="1:17" ht="45" customHeight="1"/>
    <row r="908" spans="1:17" ht="14.45" customHeight="1"/>
    <row r="909" spans="1:17" ht="45" customHeight="1"/>
    <row r="910" spans="1:17" ht="14.45" customHeight="1"/>
    <row r="911" spans="1:17" ht="24" customHeight="1"/>
    <row r="912" spans="1:17" ht="14.45" customHeight="1"/>
    <row r="913" s="11" customFormat="1" ht="60" customHeight="1"/>
    <row r="914" s="11" customFormat="1" ht="45" customHeight="1"/>
    <row r="915" s="11" customFormat="1" ht="14.45" customHeight="1"/>
    <row r="916" s="11" customFormat="1" ht="45" customHeight="1"/>
    <row r="917" s="11" customFormat="1" ht="14.45" customHeight="1"/>
    <row r="918" s="11" customFormat="1" ht="24" customHeight="1"/>
    <row r="919" s="11" customFormat="1" ht="14.45" customHeight="1"/>
    <row r="920" s="11" customFormat="1" ht="60" customHeight="1"/>
    <row r="921" s="11" customFormat="1" ht="45" customHeight="1"/>
    <row r="922" s="11" customFormat="1" ht="14.45" customHeight="1"/>
    <row r="923" s="11" customFormat="1" ht="45" customHeight="1"/>
    <row r="924" s="11" customFormat="1" ht="14.45" customHeight="1"/>
    <row r="925" s="11" customFormat="1" ht="24" customHeight="1"/>
    <row r="926" s="11" customFormat="1" ht="14.45" customHeight="1"/>
    <row r="927" s="11" customFormat="1" ht="60" customHeight="1"/>
    <row r="928" s="11" customFormat="1" ht="45" customHeight="1"/>
    <row r="929" s="11" customFormat="1" ht="14.45" customHeight="1"/>
    <row r="930" s="11" customFormat="1" ht="45" customHeight="1"/>
    <row r="931" s="11" customFormat="1" ht="14.45" customHeight="1"/>
    <row r="932" s="11" customFormat="1" ht="24" customHeight="1"/>
    <row r="933" s="11" customFormat="1" ht="14.45" customHeight="1"/>
    <row r="934" s="11" customFormat="1" ht="60" customHeight="1"/>
    <row r="935" s="11" customFormat="1" ht="45" customHeight="1"/>
    <row r="936" s="11" customFormat="1" ht="14.45" customHeight="1"/>
    <row r="937" s="11" customFormat="1" ht="45" customHeight="1"/>
    <row r="938" s="11" customFormat="1" ht="14.45" customHeight="1"/>
    <row r="939" s="11" customFormat="1" ht="24" customHeight="1"/>
    <row r="940" s="11" customFormat="1" ht="14.45" customHeight="1"/>
    <row r="941" s="11" customFormat="1" ht="60" customHeight="1"/>
    <row r="942" s="11" customFormat="1" ht="45" customHeight="1"/>
    <row r="943" s="11" customFormat="1" ht="14.45" customHeight="1"/>
    <row r="944" s="11" customFormat="1" ht="45" customHeight="1"/>
    <row r="945" s="11" customFormat="1" ht="14.45" customHeight="1"/>
    <row r="946" s="11" customFormat="1" ht="24" customHeight="1"/>
    <row r="947" s="11" customFormat="1" ht="14.45" customHeight="1"/>
    <row r="948" s="11" customFormat="1" ht="60" customHeight="1"/>
    <row r="949" s="11" customFormat="1" ht="45" customHeight="1"/>
    <row r="950" s="11" customFormat="1" ht="14.45" customHeight="1"/>
    <row r="951" s="11" customFormat="1" ht="45" customHeight="1"/>
    <row r="952" s="11" customFormat="1" ht="14.45" customHeight="1"/>
    <row r="953" s="11" customFormat="1" ht="24" customHeight="1"/>
    <row r="954" s="11" customFormat="1" ht="14.45" customHeight="1"/>
    <row r="955" s="11" customFormat="1" ht="60" customHeight="1"/>
    <row r="956" s="11" customFormat="1" ht="45" customHeight="1"/>
    <row r="957" s="11" customFormat="1" ht="14.45" customHeight="1"/>
    <row r="958" s="11" customFormat="1" ht="45" customHeight="1"/>
    <row r="959" s="11" customFormat="1" ht="14.45" customHeight="1"/>
    <row r="960" s="11" customFormat="1" ht="24" customHeight="1"/>
    <row r="961" s="11" customFormat="1" ht="14.45" customHeight="1"/>
    <row r="962" s="11" customFormat="1" ht="60" customHeight="1"/>
    <row r="963" s="11" customFormat="1" ht="45" customHeight="1"/>
    <row r="964" s="11" customFormat="1" ht="14.45" customHeight="1"/>
    <row r="965" s="11" customFormat="1" ht="45" customHeight="1"/>
    <row r="966" s="11" customFormat="1" ht="14.45" customHeight="1"/>
    <row r="967" s="11" customFormat="1" ht="24" customHeight="1"/>
    <row r="968" s="11" customFormat="1" ht="14.45" customHeight="1"/>
    <row r="969" s="11" customFormat="1" ht="60" customHeight="1"/>
    <row r="970" s="11" customFormat="1" ht="45" customHeight="1"/>
    <row r="971" s="11" customFormat="1" ht="14.45" customHeight="1"/>
    <row r="972" s="11" customFormat="1" ht="45" customHeight="1"/>
    <row r="973" s="11" customFormat="1" ht="14.45" customHeight="1"/>
    <row r="974" s="11" customFormat="1" ht="24" customHeight="1"/>
    <row r="975" s="11" customFormat="1" ht="14.45" customHeight="1"/>
    <row r="976" s="11" customFormat="1" ht="60" customHeight="1"/>
    <row r="977" s="11" customFormat="1" ht="45" customHeight="1"/>
    <row r="978" s="11" customFormat="1" ht="14.45" customHeight="1"/>
    <row r="979" s="11" customFormat="1" ht="45" customHeight="1"/>
    <row r="980" s="11" customFormat="1" ht="14.45" customHeight="1"/>
    <row r="981" s="11" customFormat="1" ht="24" customHeight="1"/>
    <row r="982" s="11" customFormat="1" ht="14.45" customHeight="1"/>
    <row r="983" s="11" customFormat="1" ht="60" customHeight="1"/>
    <row r="984" s="11" customFormat="1" ht="45" customHeight="1"/>
    <row r="985" s="11" customFormat="1" ht="14.45" customHeight="1"/>
    <row r="986" s="11" customFormat="1" ht="45" customHeight="1"/>
    <row r="987" s="11" customFormat="1" ht="14.45" customHeight="1"/>
    <row r="988" s="11" customFormat="1" ht="24" customHeight="1"/>
    <row r="989" s="11" customFormat="1" ht="14.45" customHeight="1"/>
    <row r="990" s="11" customFormat="1" ht="60" customHeight="1"/>
    <row r="991" s="11" customFormat="1" ht="45" customHeight="1"/>
    <row r="992" s="11" customFormat="1" ht="14.45" customHeight="1"/>
    <row r="993" s="11" customFormat="1" ht="45" customHeight="1"/>
    <row r="994" s="11" customFormat="1" ht="14.45" customHeight="1"/>
    <row r="995" s="11" customFormat="1" ht="24" customHeight="1"/>
    <row r="996" s="11" customFormat="1" ht="14.45" customHeight="1"/>
    <row r="997" s="11" customFormat="1" ht="60" customHeight="1"/>
    <row r="998" s="11" customFormat="1" ht="45" customHeight="1"/>
    <row r="999" s="11" customFormat="1" ht="14.45" customHeight="1"/>
    <row r="1000" s="11" customFormat="1" ht="45" customHeight="1"/>
    <row r="1001" s="11" customFormat="1" ht="14.45" customHeight="1"/>
    <row r="1002" s="11" customFormat="1" ht="24" customHeight="1"/>
    <row r="1003" s="11" customFormat="1" ht="14.45" customHeight="1"/>
    <row r="1004" s="11" customFormat="1" ht="60" customHeight="1"/>
    <row r="1005" s="11" customFormat="1" ht="45" customHeight="1"/>
    <row r="1006" s="11" customFormat="1" ht="14.45" customHeight="1"/>
    <row r="1007" s="11" customFormat="1" ht="45" customHeight="1"/>
    <row r="1008" s="11" customFormat="1" ht="14.45" customHeight="1"/>
    <row r="1009" s="11" customFormat="1" ht="24" customHeight="1"/>
    <row r="1010" s="11" customFormat="1" ht="14.45" customHeight="1"/>
    <row r="1011" s="11" customFormat="1" ht="60" customHeight="1"/>
    <row r="1012" s="11" customFormat="1" ht="45" customHeight="1"/>
    <row r="1013" s="11" customFormat="1" ht="14.45" customHeight="1"/>
    <row r="1014" s="11" customFormat="1" ht="45" customHeight="1"/>
    <row r="1015" s="11" customFormat="1" ht="14.45" customHeight="1"/>
    <row r="1016" s="11" customFormat="1" ht="24" customHeight="1"/>
    <row r="1017" s="11" customFormat="1" ht="14.45" customHeight="1"/>
    <row r="1018" s="11" customFormat="1" ht="60" customHeight="1"/>
    <row r="1019" s="11" customFormat="1" ht="45" customHeight="1"/>
    <row r="1020" s="11" customFormat="1" ht="14.45" customHeight="1"/>
    <row r="1021" s="11" customFormat="1" ht="45" customHeight="1"/>
    <row r="1022" s="11" customFormat="1" ht="14.45" customHeight="1"/>
    <row r="1023" s="11" customFormat="1" ht="24" customHeight="1"/>
    <row r="1024" s="11" customFormat="1" ht="14.45" customHeight="1"/>
    <row r="1025" s="11" customFormat="1" ht="60" customHeight="1"/>
    <row r="1026" s="11" customFormat="1" ht="45" customHeight="1"/>
    <row r="1027" s="11" customFormat="1" ht="14.45" customHeight="1"/>
    <row r="1028" s="11" customFormat="1" ht="45" customHeight="1"/>
    <row r="1029" s="11" customFormat="1" ht="14.45" customHeight="1"/>
    <row r="1030" s="11" customFormat="1" ht="24" customHeight="1"/>
    <row r="1031" s="11" customFormat="1" ht="14.45" customHeight="1"/>
    <row r="1032" s="11" customFormat="1" ht="60" customHeight="1"/>
    <row r="1033" s="11" customFormat="1" ht="45" customHeight="1"/>
    <row r="1034" s="11" customFormat="1" ht="14.45" customHeight="1"/>
    <row r="1035" s="11" customFormat="1" ht="45" customHeight="1"/>
    <row r="1036" s="11" customFormat="1" ht="14.45" customHeight="1"/>
    <row r="1037" s="11" customFormat="1" ht="24" customHeight="1"/>
    <row r="1038" s="11" customFormat="1" ht="14.45" customHeight="1"/>
    <row r="1039" s="11" customFormat="1" ht="60" customHeight="1"/>
    <row r="1040" s="11" customFormat="1" ht="45" customHeight="1"/>
    <row r="1041" s="11" customFormat="1" ht="14.45" customHeight="1"/>
    <row r="1042" s="11" customFormat="1" ht="45" customHeight="1"/>
    <row r="1043" s="11" customFormat="1" ht="14.45" customHeight="1"/>
    <row r="1044" s="11" customFormat="1" ht="24" customHeight="1"/>
    <row r="1045" s="11" customFormat="1" ht="14.45" customHeight="1"/>
    <row r="1046" s="11" customFormat="1" ht="60" customHeight="1"/>
    <row r="1047" s="11" customFormat="1" ht="45" customHeight="1"/>
    <row r="1048" s="11" customFormat="1" ht="14.45" customHeight="1"/>
    <row r="1049" s="11" customFormat="1" ht="45" customHeight="1"/>
    <row r="1050" s="11" customFormat="1" ht="14.45" customHeight="1"/>
    <row r="1051" s="11" customFormat="1" ht="24" customHeight="1"/>
    <row r="1052" s="11" customFormat="1" ht="14.45" customHeight="1"/>
    <row r="1053" s="11" customFormat="1" ht="60" customHeight="1"/>
    <row r="1054" s="11" customFormat="1" ht="45" customHeight="1"/>
    <row r="1055" s="11" customFormat="1" ht="14.45" customHeight="1"/>
    <row r="1056" s="11" customFormat="1" ht="45" customHeight="1"/>
    <row r="1057" s="11" customFormat="1" ht="14.45" customHeight="1"/>
    <row r="1058" s="11" customFormat="1" ht="24" customHeight="1"/>
    <row r="1059" s="11" customFormat="1" ht="14.45" customHeight="1"/>
    <row r="1060" s="11" customFormat="1" ht="60" customHeight="1"/>
    <row r="1061" s="11" customFormat="1" ht="45" customHeight="1"/>
    <row r="1062" s="11" customFormat="1" ht="14.45" customHeight="1"/>
    <row r="1063" s="11" customFormat="1" ht="45" customHeight="1"/>
    <row r="1064" s="11" customFormat="1" ht="14.45" customHeight="1"/>
    <row r="1065" s="11" customFormat="1" ht="24" customHeight="1"/>
    <row r="1066" s="11" customFormat="1" ht="14.45" customHeight="1"/>
    <row r="1067" s="11" customFormat="1" ht="60" customHeight="1"/>
    <row r="1068" s="11" customFormat="1" ht="45" customHeight="1"/>
    <row r="1069" s="11" customFormat="1" ht="14.45" customHeight="1"/>
    <row r="1070" s="11" customFormat="1" ht="45" customHeight="1"/>
    <row r="1071" s="11" customFormat="1" ht="14.45" customHeight="1"/>
    <row r="1072" s="11" customFormat="1" ht="24" customHeight="1"/>
    <row r="1073" s="11" customFormat="1" ht="14.45" customHeight="1"/>
    <row r="1074" s="11" customFormat="1" ht="60" customHeight="1"/>
    <row r="1075" s="11" customFormat="1" ht="45" customHeight="1"/>
    <row r="1076" s="11" customFormat="1" ht="14.45" customHeight="1"/>
    <row r="1077" s="11" customFormat="1" ht="45" customHeight="1"/>
    <row r="1078" s="11" customFormat="1" ht="14.45" customHeight="1"/>
    <row r="1079" s="11" customFormat="1" ht="24" customHeight="1"/>
    <row r="1080" s="11" customFormat="1" ht="14.45" customHeight="1"/>
    <row r="1081" s="11" customFormat="1" ht="60" customHeight="1"/>
    <row r="1082" s="11" customFormat="1" ht="45" customHeight="1"/>
    <row r="1083" s="11" customFormat="1" ht="14.45" customHeight="1"/>
    <row r="1084" s="11" customFormat="1" ht="45" customHeight="1"/>
    <row r="1085" s="11" customFormat="1" ht="14.45" customHeight="1"/>
    <row r="1086" s="11" customFormat="1" ht="24" customHeight="1"/>
    <row r="1087" s="11" customFormat="1" ht="14.45" customHeight="1"/>
    <row r="1088" s="11" customFormat="1" ht="60" customHeight="1"/>
    <row r="1089" s="11" customFormat="1" ht="45" customHeight="1"/>
    <row r="1090" s="11" customFormat="1" ht="14.45" customHeight="1"/>
    <row r="1091" s="11" customFormat="1" ht="45" customHeight="1"/>
    <row r="1092" s="11" customFormat="1" ht="14.45" customHeight="1"/>
    <row r="1093" s="11" customFormat="1" ht="24" customHeight="1"/>
  </sheetData>
  <sheetProtection algorithmName="SHA-512" hashValue="e3IETAVxwt/zNBu4lLPyHeQk9EcsDST/e73kibiRfZX002NFi3RYoZC5n+WM5b3M5VxFAkEQRfxFqorA04et2g==" saltValue="aQgLHNmKbrSZ85AulMGCrw==" spinCount="100000" sheet="1" objects="1" scenarios="1" autoFilter="0"/>
  <mergeCells count="1868">
    <mergeCell ref="O891:Q891"/>
    <mergeCell ref="O892:Q897"/>
    <mergeCell ref="L884:N884"/>
    <mergeCell ref="L885:N890"/>
    <mergeCell ref="O884:Q884"/>
    <mergeCell ref="O885:Q890"/>
    <mergeCell ref="L891:N891"/>
    <mergeCell ref="L892:N897"/>
    <mergeCell ref="A891:A897"/>
    <mergeCell ref="B891:B897"/>
    <mergeCell ref="C891:C897"/>
    <mergeCell ref="D891:D897"/>
    <mergeCell ref="E891:E897"/>
    <mergeCell ref="F891:H891"/>
    <mergeCell ref="G892:H892"/>
    <mergeCell ref="G897:H897"/>
    <mergeCell ref="I891:K891"/>
    <mergeCell ref="I892:K897"/>
    <mergeCell ref="F884:H884"/>
    <mergeCell ref="G885:H885"/>
    <mergeCell ref="G890:H890"/>
    <mergeCell ref="I884:K884"/>
    <mergeCell ref="I885:K890"/>
    <mergeCell ref="A884:A890"/>
    <mergeCell ref="B884:B890"/>
    <mergeCell ref="C884:C890"/>
    <mergeCell ref="D884:D890"/>
    <mergeCell ref="E884:E890"/>
    <mergeCell ref="O871:Q876"/>
    <mergeCell ref="A877:A883"/>
    <mergeCell ref="B877:B883"/>
    <mergeCell ref="C877:C883"/>
    <mergeCell ref="D877:D883"/>
    <mergeCell ref="E877:E883"/>
    <mergeCell ref="F877:H877"/>
    <mergeCell ref="G878:H878"/>
    <mergeCell ref="G883:H883"/>
    <mergeCell ref="I877:K877"/>
    <mergeCell ref="I878:K883"/>
    <mergeCell ref="L877:N877"/>
    <mergeCell ref="L878:N883"/>
    <mergeCell ref="O877:Q877"/>
    <mergeCell ref="O878:Q883"/>
    <mergeCell ref="L864:N869"/>
    <mergeCell ref="O863:Q863"/>
    <mergeCell ref="O864:Q869"/>
    <mergeCell ref="A870:A876"/>
    <mergeCell ref="B870:B876"/>
    <mergeCell ref="C870:C876"/>
    <mergeCell ref="D870:D876"/>
    <mergeCell ref="E870:E876"/>
    <mergeCell ref="F870:H870"/>
    <mergeCell ref="G871:H871"/>
    <mergeCell ref="G876:H876"/>
    <mergeCell ref="I870:K870"/>
    <mergeCell ref="I871:K876"/>
    <mergeCell ref="L870:N870"/>
    <mergeCell ref="L871:N876"/>
    <mergeCell ref="O870:Q870"/>
    <mergeCell ref="L856:N856"/>
    <mergeCell ref="L857:N862"/>
    <mergeCell ref="O856:Q856"/>
    <mergeCell ref="O857:Q862"/>
    <mergeCell ref="A863:A869"/>
    <mergeCell ref="B863:B869"/>
    <mergeCell ref="C863:C869"/>
    <mergeCell ref="D863:D869"/>
    <mergeCell ref="E863:E869"/>
    <mergeCell ref="F863:H863"/>
    <mergeCell ref="G864:H864"/>
    <mergeCell ref="G869:H869"/>
    <mergeCell ref="I863:K863"/>
    <mergeCell ref="J864:K864"/>
    <mergeCell ref="J869:K869"/>
    <mergeCell ref="L863:N863"/>
    <mergeCell ref="F856:H856"/>
    <mergeCell ref="G857:H857"/>
    <mergeCell ref="G862:H862"/>
    <mergeCell ref="I856:K856"/>
    <mergeCell ref="I857:K862"/>
    <mergeCell ref="A856:A862"/>
    <mergeCell ref="B856:B862"/>
    <mergeCell ref="C856:C862"/>
    <mergeCell ref="D856:D862"/>
    <mergeCell ref="E856:E862"/>
    <mergeCell ref="O842:Q842"/>
    <mergeCell ref="O843:Q848"/>
    <mergeCell ref="A849:A855"/>
    <mergeCell ref="B849:B855"/>
    <mergeCell ref="C849:C855"/>
    <mergeCell ref="D849:D855"/>
    <mergeCell ref="E849:E855"/>
    <mergeCell ref="F849:H849"/>
    <mergeCell ref="G850:H850"/>
    <mergeCell ref="G855:H855"/>
    <mergeCell ref="I849:K849"/>
    <mergeCell ref="I850:K855"/>
    <mergeCell ref="L849:N849"/>
    <mergeCell ref="L850:N855"/>
    <mergeCell ref="O849:Q849"/>
    <mergeCell ref="O850:Q855"/>
    <mergeCell ref="L835:N835"/>
    <mergeCell ref="L836:N841"/>
    <mergeCell ref="O835:Q835"/>
    <mergeCell ref="O836:Q841"/>
    <mergeCell ref="A842:A848"/>
    <mergeCell ref="B842:B848"/>
    <mergeCell ref="C842:C848"/>
    <mergeCell ref="D842:D848"/>
    <mergeCell ref="E842:E848"/>
    <mergeCell ref="F842:H842"/>
    <mergeCell ref="G843:H843"/>
    <mergeCell ref="G848:H848"/>
    <mergeCell ref="I842:K842"/>
    <mergeCell ref="I843:K848"/>
    <mergeCell ref="L842:N842"/>
    <mergeCell ref="L843:N848"/>
    <mergeCell ref="F835:H835"/>
    <mergeCell ref="G836:H836"/>
    <mergeCell ref="G841:H841"/>
    <mergeCell ref="I835:K835"/>
    <mergeCell ref="I836:K841"/>
    <mergeCell ref="A835:A841"/>
    <mergeCell ref="B835:B841"/>
    <mergeCell ref="C835:C841"/>
    <mergeCell ref="D835:D841"/>
    <mergeCell ref="E835:E841"/>
    <mergeCell ref="O821:Q821"/>
    <mergeCell ref="O822:Q827"/>
    <mergeCell ref="A828:A834"/>
    <mergeCell ref="B828:B834"/>
    <mergeCell ref="C828:C834"/>
    <mergeCell ref="D828:D834"/>
    <mergeCell ref="E828:E834"/>
    <mergeCell ref="F828:H828"/>
    <mergeCell ref="G829:H829"/>
    <mergeCell ref="G834:H834"/>
    <mergeCell ref="I828:K828"/>
    <mergeCell ref="I829:K834"/>
    <mergeCell ref="L828:N828"/>
    <mergeCell ref="L829:N834"/>
    <mergeCell ref="O828:Q828"/>
    <mergeCell ref="O829:Q834"/>
    <mergeCell ref="L814:N814"/>
    <mergeCell ref="L815:N820"/>
    <mergeCell ref="O814:Q814"/>
    <mergeCell ref="O815:Q820"/>
    <mergeCell ref="A821:A827"/>
    <mergeCell ref="B821:B827"/>
    <mergeCell ref="C821:C827"/>
    <mergeCell ref="D821:D827"/>
    <mergeCell ref="F821:H821"/>
    <mergeCell ref="G822:H822"/>
    <mergeCell ref="G827:H827"/>
    <mergeCell ref="I821:K821"/>
    <mergeCell ref="I822:K827"/>
    <mergeCell ref="L821:N821"/>
    <mergeCell ref="L822:N827"/>
    <mergeCell ref="F814:H814"/>
    <mergeCell ref="G815:H815"/>
    <mergeCell ref="G820:H820"/>
    <mergeCell ref="I814:K814"/>
    <mergeCell ref="I815:K820"/>
    <mergeCell ref="A814:A820"/>
    <mergeCell ref="B814:B820"/>
    <mergeCell ref="C814:C820"/>
    <mergeCell ref="D814:D820"/>
    <mergeCell ref="E821:E827"/>
    <mergeCell ref="E814:E820"/>
    <mergeCell ref="O801:Q806"/>
    <mergeCell ref="A807:A813"/>
    <mergeCell ref="B807:B813"/>
    <mergeCell ref="C807:C813"/>
    <mergeCell ref="D807:D813"/>
    <mergeCell ref="F807:H807"/>
    <mergeCell ref="G808:H808"/>
    <mergeCell ref="G813:H813"/>
    <mergeCell ref="I807:K807"/>
    <mergeCell ref="I808:K813"/>
    <mergeCell ref="L807:N807"/>
    <mergeCell ref="L808:N813"/>
    <mergeCell ref="O807:Q807"/>
    <mergeCell ref="O808:Q813"/>
    <mergeCell ref="L794:N799"/>
    <mergeCell ref="O793:Q793"/>
    <mergeCell ref="O794:Q799"/>
    <mergeCell ref="A800:A806"/>
    <mergeCell ref="B800:B806"/>
    <mergeCell ref="C800:C806"/>
    <mergeCell ref="D800:D806"/>
    <mergeCell ref="F800:H800"/>
    <mergeCell ref="G801:H801"/>
    <mergeCell ref="G806:H806"/>
    <mergeCell ref="I800:K800"/>
    <mergeCell ref="J801:K801"/>
    <mergeCell ref="J806:K806"/>
    <mergeCell ref="L800:N800"/>
    <mergeCell ref="L801:N806"/>
    <mergeCell ref="O800:Q800"/>
    <mergeCell ref="E800:E806"/>
    <mergeCell ref="E807:E813"/>
    <mergeCell ref="L786:N786"/>
    <mergeCell ref="L787:N792"/>
    <mergeCell ref="O786:Q786"/>
    <mergeCell ref="O787:Q792"/>
    <mergeCell ref="A793:A799"/>
    <mergeCell ref="B793:B799"/>
    <mergeCell ref="C793:C799"/>
    <mergeCell ref="D793:D799"/>
    <mergeCell ref="F793:H793"/>
    <mergeCell ref="G794:H794"/>
    <mergeCell ref="G799:H799"/>
    <mergeCell ref="I793:K793"/>
    <mergeCell ref="J794:K794"/>
    <mergeCell ref="J799:K799"/>
    <mergeCell ref="L793:N793"/>
    <mergeCell ref="F786:H786"/>
    <mergeCell ref="G787:H787"/>
    <mergeCell ref="G792:H792"/>
    <mergeCell ref="I786:K786"/>
    <mergeCell ref="J787:K787"/>
    <mergeCell ref="J792:K792"/>
    <mergeCell ref="A786:A792"/>
    <mergeCell ref="B786:B792"/>
    <mergeCell ref="C786:C792"/>
    <mergeCell ref="D786:D792"/>
    <mergeCell ref="E786:E792"/>
    <mergeCell ref="E793:E799"/>
    <mergeCell ref="O773:Q778"/>
    <mergeCell ref="A779:A785"/>
    <mergeCell ref="B779:B785"/>
    <mergeCell ref="C779:C785"/>
    <mergeCell ref="D779:D785"/>
    <mergeCell ref="E779:E785"/>
    <mergeCell ref="F779:H779"/>
    <mergeCell ref="G780:H780"/>
    <mergeCell ref="G785:H785"/>
    <mergeCell ref="I779:K779"/>
    <mergeCell ref="J780:K780"/>
    <mergeCell ref="J785:K785"/>
    <mergeCell ref="L779:N779"/>
    <mergeCell ref="L780:N785"/>
    <mergeCell ref="O779:Q779"/>
    <mergeCell ref="O780:Q785"/>
    <mergeCell ref="O765:Q765"/>
    <mergeCell ref="O766:Q771"/>
    <mergeCell ref="A772:A778"/>
    <mergeCell ref="B772:B778"/>
    <mergeCell ref="C772:C778"/>
    <mergeCell ref="D772:D778"/>
    <mergeCell ref="E772:E778"/>
    <mergeCell ref="F772:H772"/>
    <mergeCell ref="G773:H773"/>
    <mergeCell ref="G778:H778"/>
    <mergeCell ref="I772:K772"/>
    <mergeCell ref="J773:K773"/>
    <mergeCell ref="J778:K778"/>
    <mergeCell ref="L772:N772"/>
    <mergeCell ref="L773:N778"/>
    <mergeCell ref="O772:Q772"/>
    <mergeCell ref="L759:N764"/>
    <mergeCell ref="O758:Q758"/>
    <mergeCell ref="O759:Q764"/>
    <mergeCell ref="A765:A771"/>
    <mergeCell ref="B765:B771"/>
    <mergeCell ref="C765:C771"/>
    <mergeCell ref="D765:D771"/>
    <mergeCell ref="E765:E771"/>
    <mergeCell ref="F765:H765"/>
    <mergeCell ref="G766:H766"/>
    <mergeCell ref="G771:H771"/>
    <mergeCell ref="I765:K765"/>
    <mergeCell ref="J766:K766"/>
    <mergeCell ref="J771:K771"/>
    <mergeCell ref="L765:N765"/>
    <mergeCell ref="L766:N771"/>
    <mergeCell ref="L751:N751"/>
    <mergeCell ref="L752:N757"/>
    <mergeCell ref="O751:Q751"/>
    <mergeCell ref="O752:Q757"/>
    <mergeCell ref="A758:A764"/>
    <mergeCell ref="B758:B764"/>
    <mergeCell ref="C758:C764"/>
    <mergeCell ref="D758:D764"/>
    <mergeCell ref="E758:E764"/>
    <mergeCell ref="F758:H758"/>
    <mergeCell ref="G759:H759"/>
    <mergeCell ref="G764:H764"/>
    <mergeCell ref="I758:K758"/>
    <mergeCell ref="J759:K759"/>
    <mergeCell ref="J764:K764"/>
    <mergeCell ref="L758:N758"/>
    <mergeCell ref="F751:H751"/>
    <mergeCell ref="G752:H752"/>
    <mergeCell ref="G757:H757"/>
    <mergeCell ref="I751:K751"/>
    <mergeCell ref="J752:K752"/>
    <mergeCell ref="J757:K757"/>
    <mergeCell ref="A751:A757"/>
    <mergeCell ref="B751:B757"/>
    <mergeCell ref="C751:C757"/>
    <mergeCell ref="D751:D757"/>
    <mergeCell ref="E751:E757"/>
    <mergeCell ref="O738:Q743"/>
    <mergeCell ref="A744:A750"/>
    <mergeCell ref="B744:B750"/>
    <mergeCell ref="C744:C750"/>
    <mergeCell ref="D744:D750"/>
    <mergeCell ref="E744:E750"/>
    <mergeCell ref="F744:H744"/>
    <mergeCell ref="G745:H745"/>
    <mergeCell ref="G750:H750"/>
    <mergeCell ref="I744:K744"/>
    <mergeCell ref="J745:K745"/>
    <mergeCell ref="J750:K750"/>
    <mergeCell ref="L744:N744"/>
    <mergeCell ref="L745:N750"/>
    <mergeCell ref="O744:Q744"/>
    <mergeCell ref="O745:Q750"/>
    <mergeCell ref="O730:Q730"/>
    <mergeCell ref="O731:Q736"/>
    <mergeCell ref="A737:A743"/>
    <mergeCell ref="B737:B743"/>
    <mergeCell ref="C737:C743"/>
    <mergeCell ref="D737:D743"/>
    <mergeCell ref="E737:E743"/>
    <mergeCell ref="F737:H737"/>
    <mergeCell ref="G738:H738"/>
    <mergeCell ref="G743:H743"/>
    <mergeCell ref="I737:K737"/>
    <mergeCell ref="J738:K738"/>
    <mergeCell ref="J743:K743"/>
    <mergeCell ref="L737:N737"/>
    <mergeCell ref="L738:N743"/>
    <mergeCell ref="O737:Q737"/>
    <mergeCell ref="L724:N729"/>
    <mergeCell ref="O723:Q723"/>
    <mergeCell ref="O724:Q729"/>
    <mergeCell ref="A730:A736"/>
    <mergeCell ref="B730:B736"/>
    <mergeCell ref="C730:C736"/>
    <mergeCell ref="D730:D736"/>
    <mergeCell ref="E730:E736"/>
    <mergeCell ref="F730:H730"/>
    <mergeCell ref="G731:H731"/>
    <mergeCell ref="G736:H736"/>
    <mergeCell ref="I730:K730"/>
    <mergeCell ref="J731:K731"/>
    <mergeCell ref="J736:K736"/>
    <mergeCell ref="L730:N730"/>
    <mergeCell ref="L731:N736"/>
    <mergeCell ref="L716:N716"/>
    <mergeCell ref="L717:N722"/>
    <mergeCell ref="O716:Q716"/>
    <mergeCell ref="O717:Q722"/>
    <mergeCell ref="A723:A729"/>
    <mergeCell ref="B723:B729"/>
    <mergeCell ref="C723:C729"/>
    <mergeCell ref="D723:D729"/>
    <mergeCell ref="E723:E729"/>
    <mergeCell ref="F723:H723"/>
    <mergeCell ref="G724:H724"/>
    <mergeCell ref="G729:H729"/>
    <mergeCell ref="I723:K723"/>
    <mergeCell ref="J724:K724"/>
    <mergeCell ref="J729:K729"/>
    <mergeCell ref="L723:N723"/>
    <mergeCell ref="F716:H716"/>
    <mergeCell ref="G717:H717"/>
    <mergeCell ref="G722:H722"/>
    <mergeCell ref="I716:K716"/>
    <mergeCell ref="J717:K717"/>
    <mergeCell ref="J722:K722"/>
    <mergeCell ref="A716:A722"/>
    <mergeCell ref="B716:B722"/>
    <mergeCell ref="C716:C722"/>
    <mergeCell ref="D716:D722"/>
    <mergeCell ref="E716:E722"/>
    <mergeCell ref="O703:Q708"/>
    <mergeCell ref="A709:A715"/>
    <mergeCell ref="B709:B715"/>
    <mergeCell ref="C709:C715"/>
    <mergeCell ref="D709:D715"/>
    <mergeCell ref="E709:E715"/>
    <mergeCell ref="F709:H709"/>
    <mergeCell ref="G710:H710"/>
    <mergeCell ref="G715:H715"/>
    <mergeCell ref="I709:K709"/>
    <mergeCell ref="I710:K715"/>
    <mergeCell ref="L709:N709"/>
    <mergeCell ref="L710:N715"/>
    <mergeCell ref="O709:Q709"/>
    <mergeCell ref="O710:Q715"/>
    <mergeCell ref="L696:N701"/>
    <mergeCell ref="O695:Q695"/>
    <mergeCell ref="O696:Q701"/>
    <mergeCell ref="A702:A708"/>
    <mergeCell ref="B702:B708"/>
    <mergeCell ref="C702:C708"/>
    <mergeCell ref="D702:D708"/>
    <mergeCell ref="E702:E708"/>
    <mergeCell ref="F702:H702"/>
    <mergeCell ref="G703:H703"/>
    <mergeCell ref="G708:H708"/>
    <mergeCell ref="I702:K702"/>
    <mergeCell ref="I703:K708"/>
    <mergeCell ref="L702:N702"/>
    <mergeCell ref="L703:N708"/>
    <mergeCell ref="O702:Q702"/>
    <mergeCell ref="L688:N688"/>
    <mergeCell ref="L689:N694"/>
    <mergeCell ref="O688:Q688"/>
    <mergeCell ref="O689:Q694"/>
    <mergeCell ref="A695:A701"/>
    <mergeCell ref="B695:B701"/>
    <mergeCell ref="C695:C701"/>
    <mergeCell ref="D695:D701"/>
    <mergeCell ref="E695:E701"/>
    <mergeCell ref="F695:H695"/>
    <mergeCell ref="G696:H696"/>
    <mergeCell ref="G701:H701"/>
    <mergeCell ref="I695:K695"/>
    <mergeCell ref="J696:K696"/>
    <mergeCell ref="J701:K701"/>
    <mergeCell ref="L695:N695"/>
    <mergeCell ref="F688:H688"/>
    <mergeCell ref="G689:H689"/>
    <mergeCell ref="G694:H694"/>
    <mergeCell ref="I688:K688"/>
    <mergeCell ref="J689:K689"/>
    <mergeCell ref="J694:K694"/>
    <mergeCell ref="A688:A694"/>
    <mergeCell ref="B688:B694"/>
    <mergeCell ref="C688:C694"/>
    <mergeCell ref="D688:D694"/>
    <mergeCell ref="E688:E694"/>
    <mergeCell ref="O675:Q680"/>
    <mergeCell ref="A681:A687"/>
    <mergeCell ref="B681:B687"/>
    <mergeCell ref="C681:C687"/>
    <mergeCell ref="D681:D687"/>
    <mergeCell ref="E681:E687"/>
    <mergeCell ref="F681:H681"/>
    <mergeCell ref="G682:H682"/>
    <mergeCell ref="G687:H687"/>
    <mergeCell ref="I681:K681"/>
    <mergeCell ref="J682:K682"/>
    <mergeCell ref="J687:K687"/>
    <mergeCell ref="L681:N681"/>
    <mergeCell ref="L682:N687"/>
    <mergeCell ref="O681:Q681"/>
    <mergeCell ref="O682:Q687"/>
    <mergeCell ref="O667:Q667"/>
    <mergeCell ref="O668:Q673"/>
    <mergeCell ref="A674:A680"/>
    <mergeCell ref="B674:B680"/>
    <mergeCell ref="C674:C680"/>
    <mergeCell ref="D674:D680"/>
    <mergeCell ref="E674:E680"/>
    <mergeCell ref="F674:H674"/>
    <mergeCell ref="G675:H675"/>
    <mergeCell ref="G680:H680"/>
    <mergeCell ref="I674:K674"/>
    <mergeCell ref="J675:K675"/>
    <mergeCell ref="J680:K680"/>
    <mergeCell ref="L674:N674"/>
    <mergeCell ref="L675:N680"/>
    <mergeCell ref="O674:Q674"/>
    <mergeCell ref="L661:N666"/>
    <mergeCell ref="O660:Q660"/>
    <mergeCell ref="O661:Q666"/>
    <mergeCell ref="A667:A673"/>
    <mergeCell ref="B667:B673"/>
    <mergeCell ref="C667:C673"/>
    <mergeCell ref="D667:D673"/>
    <mergeCell ref="E667:E673"/>
    <mergeCell ref="F667:H667"/>
    <mergeCell ref="G668:H668"/>
    <mergeCell ref="G673:H673"/>
    <mergeCell ref="I667:K667"/>
    <mergeCell ref="J668:K668"/>
    <mergeCell ref="J673:K673"/>
    <mergeCell ref="L667:N667"/>
    <mergeCell ref="L668:N673"/>
    <mergeCell ref="L653:N653"/>
    <mergeCell ref="L654:N659"/>
    <mergeCell ref="O653:Q653"/>
    <mergeCell ref="O654:Q659"/>
    <mergeCell ref="A660:A666"/>
    <mergeCell ref="B660:B666"/>
    <mergeCell ref="C660:C666"/>
    <mergeCell ref="D660:D666"/>
    <mergeCell ref="E660:E666"/>
    <mergeCell ref="F660:H660"/>
    <mergeCell ref="G661:H661"/>
    <mergeCell ref="G666:H666"/>
    <mergeCell ref="I660:K660"/>
    <mergeCell ref="J661:K661"/>
    <mergeCell ref="J666:K666"/>
    <mergeCell ref="L660:N660"/>
    <mergeCell ref="F653:H653"/>
    <mergeCell ref="G654:H654"/>
    <mergeCell ref="G659:H659"/>
    <mergeCell ref="I653:K653"/>
    <mergeCell ref="J654:K654"/>
    <mergeCell ref="J659:K659"/>
    <mergeCell ref="A653:A659"/>
    <mergeCell ref="B653:B659"/>
    <mergeCell ref="C653:C659"/>
    <mergeCell ref="D653:D659"/>
    <mergeCell ref="E653:E659"/>
    <mergeCell ref="O640:Q645"/>
    <mergeCell ref="A646:A652"/>
    <mergeCell ref="B646:B652"/>
    <mergeCell ref="C646:C652"/>
    <mergeCell ref="D646:D652"/>
    <mergeCell ref="E646:E652"/>
    <mergeCell ref="F646:H646"/>
    <mergeCell ref="G647:H647"/>
    <mergeCell ref="G652:H652"/>
    <mergeCell ref="I646:K646"/>
    <mergeCell ref="J647:K647"/>
    <mergeCell ref="J652:K652"/>
    <mergeCell ref="L646:N646"/>
    <mergeCell ref="L647:N652"/>
    <mergeCell ref="O646:Q646"/>
    <mergeCell ref="O647:Q652"/>
    <mergeCell ref="O632:Q632"/>
    <mergeCell ref="O633:Q638"/>
    <mergeCell ref="A639:A645"/>
    <mergeCell ref="B639:B645"/>
    <mergeCell ref="C639:C645"/>
    <mergeCell ref="D639:D645"/>
    <mergeCell ref="E639:E645"/>
    <mergeCell ref="F639:H639"/>
    <mergeCell ref="G640:H640"/>
    <mergeCell ref="G645:H645"/>
    <mergeCell ref="I639:K639"/>
    <mergeCell ref="J640:K640"/>
    <mergeCell ref="J645:K645"/>
    <mergeCell ref="L639:N639"/>
    <mergeCell ref="L640:N645"/>
    <mergeCell ref="O639:Q639"/>
    <mergeCell ref="L626:N631"/>
    <mergeCell ref="O625:Q625"/>
    <mergeCell ref="O626:Q631"/>
    <mergeCell ref="A632:A638"/>
    <mergeCell ref="B632:B638"/>
    <mergeCell ref="C632:C638"/>
    <mergeCell ref="D632:D638"/>
    <mergeCell ref="E632:E638"/>
    <mergeCell ref="F632:H632"/>
    <mergeCell ref="G633:H633"/>
    <mergeCell ref="G638:H638"/>
    <mergeCell ref="I632:K632"/>
    <mergeCell ref="J633:K633"/>
    <mergeCell ref="J638:K638"/>
    <mergeCell ref="L632:N632"/>
    <mergeCell ref="L633:N638"/>
    <mergeCell ref="L618:N618"/>
    <mergeCell ref="L619:N624"/>
    <mergeCell ref="O618:Q618"/>
    <mergeCell ref="O619:Q624"/>
    <mergeCell ref="A625:A631"/>
    <mergeCell ref="B625:B631"/>
    <mergeCell ref="C625:C631"/>
    <mergeCell ref="D625:D631"/>
    <mergeCell ref="E625:E631"/>
    <mergeCell ref="F625:H625"/>
    <mergeCell ref="G626:H626"/>
    <mergeCell ref="G631:H631"/>
    <mergeCell ref="I625:K625"/>
    <mergeCell ref="J626:K626"/>
    <mergeCell ref="J631:K631"/>
    <mergeCell ref="L625:N625"/>
    <mergeCell ref="F618:H618"/>
    <mergeCell ref="G619:H619"/>
    <mergeCell ref="G624:H624"/>
    <mergeCell ref="I618:K618"/>
    <mergeCell ref="J619:K619"/>
    <mergeCell ref="J624:K624"/>
    <mergeCell ref="A618:A624"/>
    <mergeCell ref="B618:B624"/>
    <mergeCell ref="C618:C624"/>
    <mergeCell ref="D618:D624"/>
    <mergeCell ref="O605:Q610"/>
    <mergeCell ref="A611:A617"/>
    <mergeCell ref="B611:B617"/>
    <mergeCell ref="C611:C617"/>
    <mergeCell ref="D611:D617"/>
    <mergeCell ref="F611:H611"/>
    <mergeCell ref="G612:H612"/>
    <mergeCell ref="G617:H617"/>
    <mergeCell ref="I611:K611"/>
    <mergeCell ref="J612:K612"/>
    <mergeCell ref="J617:K617"/>
    <mergeCell ref="L611:N611"/>
    <mergeCell ref="L612:N617"/>
    <mergeCell ref="O611:Q611"/>
    <mergeCell ref="O612:Q617"/>
    <mergeCell ref="E611:E617"/>
    <mergeCell ref="E618:E624"/>
    <mergeCell ref="O597:Q597"/>
    <mergeCell ref="O598:Q603"/>
    <mergeCell ref="O604:Q604"/>
    <mergeCell ref="A604:A610"/>
    <mergeCell ref="B604:B610"/>
    <mergeCell ref="C604:C610"/>
    <mergeCell ref="D604:D610"/>
    <mergeCell ref="F604:H604"/>
    <mergeCell ref="G605:H605"/>
    <mergeCell ref="G610:H610"/>
    <mergeCell ref="I604:K604"/>
    <mergeCell ref="J605:K605"/>
    <mergeCell ref="J610:K610"/>
    <mergeCell ref="L604:N604"/>
    <mergeCell ref="L605:N610"/>
    <mergeCell ref="L591:N596"/>
    <mergeCell ref="O590:Q590"/>
    <mergeCell ref="O591:Q596"/>
    <mergeCell ref="A597:A603"/>
    <mergeCell ref="B597:B603"/>
    <mergeCell ref="C597:C603"/>
    <mergeCell ref="D597:D603"/>
    <mergeCell ref="F597:H597"/>
    <mergeCell ref="G598:H598"/>
    <mergeCell ref="G603:H603"/>
    <mergeCell ref="I597:K597"/>
    <mergeCell ref="J598:K598"/>
    <mergeCell ref="J603:K603"/>
    <mergeCell ref="L597:N597"/>
    <mergeCell ref="L598:N603"/>
    <mergeCell ref="E604:E610"/>
    <mergeCell ref="L583:N583"/>
    <mergeCell ref="L584:N589"/>
    <mergeCell ref="O583:Q583"/>
    <mergeCell ref="O584:Q589"/>
    <mergeCell ref="A590:A596"/>
    <mergeCell ref="B590:B596"/>
    <mergeCell ref="C590:C596"/>
    <mergeCell ref="D590:D596"/>
    <mergeCell ref="F590:H590"/>
    <mergeCell ref="G591:H591"/>
    <mergeCell ref="G596:H596"/>
    <mergeCell ref="I590:K590"/>
    <mergeCell ref="J591:K591"/>
    <mergeCell ref="J596:K596"/>
    <mergeCell ref="L590:N590"/>
    <mergeCell ref="F583:H583"/>
    <mergeCell ref="G584:H584"/>
    <mergeCell ref="G589:H589"/>
    <mergeCell ref="I583:K583"/>
    <mergeCell ref="I584:K589"/>
    <mergeCell ref="A583:A589"/>
    <mergeCell ref="B583:B589"/>
    <mergeCell ref="C583:C589"/>
    <mergeCell ref="D583:D589"/>
    <mergeCell ref="E583:E589"/>
    <mergeCell ref="O570:Q575"/>
    <mergeCell ref="A576:A582"/>
    <mergeCell ref="B576:B582"/>
    <mergeCell ref="C576:C582"/>
    <mergeCell ref="D576:D582"/>
    <mergeCell ref="E576:E582"/>
    <mergeCell ref="F576:H576"/>
    <mergeCell ref="G577:H577"/>
    <mergeCell ref="G582:H582"/>
    <mergeCell ref="I576:K576"/>
    <mergeCell ref="J577:K577"/>
    <mergeCell ref="J582:K582"/>
    <mergeCell ref="L576:N576"/>
    <mergeCell ref="L577:N582"/>
    <mergeCell ref="O576:Q576"/>
    <mergeCell ref="O577:Q582"/>
    <mergeCell ref="O563:Q568"/>
    <mergeCell ref="A569:A575"/>
    <mergeCell ref="B569:B575"/>
    <mergeCell ref="C569:C575"/>
    <mergeCell ref="D569:D575"/>
    <mergeCell ref="E569:E575"/>
    <mergeCell ref="F569:H569"/>
    <mergeCell ref="G570:H570"/>
    <mergeCell ref="G575:H575"/>
    <mergeCell ref="I569:K569"/>
    <mergeCell ref="J570:K570"/>
    <mergeCell ref="J575:K575"/>
    <mergeCell ref="L569:N569"/>
    <mergeCell ref="M570:N570"/>
    <mergeCell ref="M575:N575"/>
    <mergeCell ref="O569:Q569"/>
    <mergeCell ref="O555:Q555"/>
    <mergeCell ref="O556:Q561"/>
    <mergeCell ref="A562:A568"/>
    <mergeCell ref="B562:B568"/>
    <mergeCell ref="C562:C568"/>
    <mergeCell ref="D562:D568"/>
    <mergeCell ref="E562:E568"/>
    <mergeCell ref="F562:H562"/>
    <mergeCell ref="G563:H563"/>
    <mergeCell ref="G568:H568"/>
    <mergeCell ref="I562:K562"/>
    <mergeCell ref="J563:K563"/>
    <mergeCell ref="J568:K568"/>
    <mergeCell ref="L562:N562"/>
    <mergeCell ref="L563:N568"/>
    <mergeCell ref="O562:Q562"/>
    <mergeCell ref="L548:N548"/>
    <mergeCell ref="L549:N554"/>
    <mergeCell ref="O548:Q548"/>
    <mergeCell ref="O549:Q554"/>
    <mergeCell ref="A555:A561"/>
    <mergeCell ref="B555:B561"/>
    <mergeCell ref="C555:C561"/>
    <mergeCell ref="D555:D561"/>
    <mergeCell ref="E555:E561"/>
    <mergeCell ref="F555:H555"/>
    <mergeCell ref="G556:H556"/>
    <mergeCell ref="G561:H561"/>
    <mergeCell ref="I555:K555"/>
    <mergeCell ref="I556:K561"/>
    <mergeCell ref="L555:N555"/>
    <mergeCell ref="L556:N561"/>
    <mergeCell ref="F548:H548"/>
    <mergeCell ref="G549:H549"/>
    <mergeCell ref="G554:H554"/>
    <mergeCell ref="I548:K548"/>
    <mergeCell ref="I549:K554"/>
    <mergeCell ref="A548:A554"/>
    <mergeCell ref="B548:B554"/>
    <mergeCell ref="C548:C554"/>
    <mergeCell ref="D548:D554"/>
    <mergeCell ref="E548:E554"/>
    <mergeCell ref="O534:Q534"/>
    <mergeCell ref="O535:Q540"/>
    <mergeCell ref="A541:A547"/>
    <mergeCell ref="B541:B547"/>
    <mergeCell ref="C541:C547"/>
    <mergeCell ref="D541:D547"/>
    <mergeCell ref="E541:E547"/>
    <mergeCell ref="F541:H541"/>
    <mergeCell ref="G542:H542"/>
    <mergeCell ref="G547:H547"/>
    <mergeCell ref="I541:K541"/>
    <mergeCell ref="I542:K547"/>
    <mergeCell ref="L541:N541"/>
    <mergeCell ref="L542:N547"/>
    <mergeCell ref="O541:Q541"/>
    <mergeCell ref="O542:Q547"/>
    <mergeCell ref="L527:N527"/>
    <mergeCell ref="L528:N533"/>
    <mergeCell ref="O527:Q527"/>
    <mergeCell ref="O528:Q533"/>
    <mergeCell ref="A534:A540"/>
    <mergeCell ref="B534:B540"/>
    <mergeCell ref="C534:C540"/>
    <mergeCell ref="D534:D540"/>
    <mergeCell ref="E534:E540"/>
    <mergeCell ref="F534:H534"/>
    <mergeCell ref="G535:H535"/>
    <mergeCell ref="G540:H540"/>
    <mergeCell ref="I534:K534"/>
    <mergeCell ref="I535:K540"/>
    <mergeCell ref="L534:N534"/>
    <mergeCell ref="L535:N540"/>
    <mergeCell ref="F527:H527"/>
    <mergeCell ref="G528:H528"/>
    <mergeCell ref="G533:H533"/>
    <mergeCell ref="I527:K527"/>
    <mergeCell ref="I528:K533"/>
    <mergeCell ref="A527:A533"/>
    <mergeCell ref="B527:B533"/>
    <mergeCell ref="C527:C533"/>
    <mergeCell ref="D527:D533"/>
    <mergeCell ref="E527:E533"/>
    <mergeCell ref="O513:Q513"/>
    <mergeCell ref="O514:Q519"/>
    <mergeCell ref="A520:A526"/>
    <mergeCell ref="B520:B526"/>
    <mergeCell ref="C520:C526"/>
    <mergeCell ref="D520:D526"/>
    <mergeCell ref="E520:E526"/>
    <mergeCell ref="F520:H520"/>
    <mergeCell ref="G521:H521"/>
    <mergeCell ref="G526:H526"/>
    <mergeCell ref="I520:K520"/>
    <mergeCell ref="I521:K526"/>
    <mergeCell ref="L520:N520"/>
    <mergeCell ref="L521:N526"/>
    <mergeCell ref="O520:Q520"/>
    <mergeCell ref="O521:Q526"/>
    <mergeCell ref="L506:N506"/>
    <mergeCell ref="L507:N512"/>
    <mergeCell ref="O506:Q506"/>
    <mergeCell ref="O507:Q512"/>
    <mergeCell ref="A513:A519"/>
    <mergeCell ref="B513:B519"/>
    <mergeCell ref="C513:C519"/>
    <mergeCell ref="D513:D519"/>
    <mergeCell ref="E513:E519"/>
    <mergeCell ref="F513:H513"/>
    <mergeCell ref="G514:H514"/>
    <mergeCell ref="G519:H519"/>
    <mergeCell ref="I513:K513"/>
    <mergeCell ref="I514:K519"/>
    <mergeCell ref="L513:N513"/>
    <mergeCell ref="L514:N519"/>
    <mergeCell ref="F506:H506"/>
    <mergeCell ref="G507:H507"/>
    <mergeCell ref="G512:H512"/>
    <mergeCell ref="I506:K506"/>
    <mergeCell ref="I507:K512"/>
    <mergeCell ref="A506:A512"/>
    <mergeCell ref="B506:B512"/>
    <mergeCell ref="C506:C512"/>
    <mergeCell ref="D506:D512"/>
    <mergeCell ref="E506:E512"/>
    <mergeCell ref="O492:Q492"/>
    <mergeCell ref="O493:Q498"/>
    <mergeCell ref="A499:A505"/>
    <mergeCell ref="B499:B505"/>
    <mergeCell ref="C499:C505"/>
    <mergeCell ref="D499:D505"/>
    <mergeCell ref="E499:E505"/>
    <mergeCell ref="F499:H499"/>
    <mergeCell ref="G500:H500"/>
    <mergeCell ref="G505:H505"/>
    <mergeCell ref="I499:K499"/>
    <mergeCell ref="I500:K505"/>
    <mergeCell ref="L499:N499"/>
    <mergeCell ref="L500:N505"/>
    <mergeCell ref="O499:Q499"/>
    <mergeCell ref="O500:Q505"/>
    <mergeCell ref="L485:N485"/>
    <mergeCell ref="L486:N491"/>
    <mergeCell ref="O485:Q485"/>
    <mergeCell ref="O486:Q491"/>
    <mergeCell ref="A492:A498"/>
    <mergeCell ref="B492:B498"/>
    <mergeCell ref="C492:C498"/>
    <mergeCell ref="D492:D498"/>
    <mergeCell ref="E492:E498"/>
    <mergeCell ref="F492:H492"/>
    <mergeCell ref="G493:H493"/>
    <mergeCell ref="G498:H498"/>
    <mergeCell ref="I492:K492"/>
    <mergeCell ref="I493:K498"/>
    <mergeCell ref="L492:N492"/>
    <mergeCell ref="L493:N498"/>
    <mergeCell ref="F485:H485"/>
    <mergeCell ref="G486:H486"/>
    <mergeCell ref="G491:H491"/>
    <mergeCell ref="I485:K485"/>
    <mergeCell ref="I486:K491"/>
    <mergeCell ref="A485:A491"/>
    <mergeCell ref="B485:B491"/>
    <mergeCell ref="C485:C491"/>
    <mergeCell ref="D485:D491"/>
    <mergeCell ref="E485:E491"/>
    <mergeCell ref="O471:Q471"/>
    <mergeCell ref="O472:Q477"/>
    <mergeCell ref="A478:A484"/>
    <mergeCell ref="B478:B484"/>
    <mergeCell ref="C478:C484"/>
    <mergeCell ref="D478:D484"/>
    <mergeCell ref="E478:E484"/>
    <mergeCell ref="F478:H478"/>
    <mergeCell ref="G479:H479"/>
    <mergeCell ref="G484:H484"/>
    <mergeCell ref="I478:K478"/>
    <mergeCell ref="I479:K484"/>
    <mergeCell ref="L478:N478"/>
    <mergeCell ref="L479:N484"/>
    <mergeCell ref="O478:Q478"/>
    <mergeCell ref="O479:Q484"/>
    <mergeCell ref="L464:N464"/>
    <mergeCell ref="L465:N470"/>
    <mergeCell ref="O464:Q464"/>
    <mergeCell ref="O465:Q470"/>
    <mergeCell ref="A471:A477"/>
    <mergeCell ref="B471:B477"/>
    <mergeCell ref="C471:C477"/>
    <mergeCell ref="D471:D477"/>
    <mergeCell ref="E471:E477"/>
    <mergeCell ref="F471:H471"/>
    <mergeCell ref="G472:H472"/>
    <mergeCell ref="G477:H477"/>
    <mergeCell ref="I471:K471"/>
    <mergeCell ref="I472:K477"/>
    <mergeCell ref="L471:N471"/>
    <mergeCell ref="L472:N477"/>
    <mergeCell ref="F464:H464"/>
    <mergeCell ref="G465:H465"/>
    <mergeCell ref="G470:H470"/>
    <mergeCell ref="I464:K464"/>
    <mergeCell ref="I465:K470"/>
    <mergeCell ref="A464:A470"/>
    <mergeCell ref="B464:B470"/>
    <mergeCell ref="C464:C470"/>
    <mergeCell ref="D464:D470"/>
    <mergeCell ref="E464:E470"/>
    <mergeCell ref="O451:Q456"/>
    <mergeCell ref="A457:A463"/>
    <mergeCell ref="B457:B463"/>
    <mergeCell ref="C457:C463"/>
    <mergeCell ref="D457:D463"/>
    <mergeCell ref="E457:E463"/>
    <mergeCell ref="F457:H457"/>
    <mergeCell ref="G458:H458"/>
    <mergeCell ref="G463:H463"/>
    <mergeCell ref="I457:K457"/>
    <mergeCell ref="I458:K463"/>
    <mergeCell ref="L457:N457"/>
    <mergeCell ref="L458:N463"/>
    <mergeCell ref="O457:Q457"/>
    <mergeCell ref="O458:Q463"/>
    <mergeCell ref="O443:Q443"/>
    <mergeCell ref="O444:Q449"/>
    <mergeCell ref="A450:A456"/>
    <mergeCell ref="B450:B456"/>
    <mergeCell ref="C450:C456"/>
    <mergeCell ref="D450:D456"/>
    <mergeCell ref="E450:E456"/>
    <mergeCell ref="F450:H450"/>
    <mergeCell ref="G451:H451"/>
    <mergeCell ref="G456:H456"/>
    <mergeCell ref="I450:K450"/>
    <mergeCell ref="J451:K451"/>
    <mergeCell ref="J456:K456"/>
    <mergeCell ref="L450:N450"/>
    <mergeCell ref="L451:N456"/>
    <mergeCell ref="O450:Q450"/>
    <mergeCell ref="L436:N436"/>
    <mergeCell ref="L437:N442"/>
    <mergeCell ref="O436:Q436"/>
    <mergeCell ref="O437:Q442"/>
    <mergeCell ref="A443:A449"/>
    <mergeCell ref="B443:B449"/>
    <mergeCell ref="C443:C449"/>
    <mergeCell ref="D443:D449"/>
    <mergeCell ref="F443:H443"/>
    <mergeCell ref="G444:H444"/>
    <mergeCell ref="G449:H449"/>
    <mergeCell ref="I443:K443"/>
    <mergeCell ref="I444:K449"/>
    <mergeCell ref="L443:N443"/>
    <mergeCell ref="L444:N449"/>
    <mergeCell ref="F436:H436"/>
    <mergeCell ref="G437:H437"/>
    <mergeCell ref="G442:H442"/>
    <mergeCell ref="I436:K436"/>
    <mergeCell ref="I437:K442"/>
    <mergeCell ref="A436:A442"/>
    <mergeCell ref="B436:B442"/>
    <mergeCell ref="C436:C442"/>
    <mergeCell ref="D436:D442"/>
    <mergeCell ref="E436:E442"/>
    <mergeCell ref="O423:Q428"/>
    <mergeCell ref="A429:A435"/>
    <mergeCell ref="B429:B435"/>
    <mergeCell ref="C429:C435"/>
    <mergeCell ref="D429:D435"/>
    <mergeCell ref="F429:H429"/>
    <mergeCell ref="G430:H430"/>
    <mergeCell ref="G435:H435"/>
    <mergeCell ref="I429:K429"/>
    <mergeCell ref="I430:K435"/>
    <mergeCell ref="L429:N429"/>
    <mergeCell ref="L430:N435"/>
    <mergeCell ref="O429:Q429"/>
    <mergeCell ref="O430:Q435"/>
    <mergeCell ref="E422:E428"/>
    <mergeCell ref="E429:E435"/>
    <mergeCell ref="O415:Q415"/>
    <mergeCell ref="O416:Q421"/>
    <mergeCell ref="A422:A428"/>
    <mergeCell ref="B422:B428"/>
    <mergeCell ref="C422:C428"/>
    <mergeCell ref="D422:D428"/>
    <mergeCell ref="F422:H422"/>
    <mergeCell ref="G423:H423"/>
    <mergeCell ref="G428:H428"/>
    <mergeCell ref="I422:K422"/>
    <mergeCell ref="J423:K423"/>
    <mergeCell ref="J428:K428"/>
    <mergeCell ref="L422:N422"/>
    <mergeCell ref="L423:N428"/>
    <mergeCell ref="O422:Q422"/>
    <mergeCell ref="E415:E421"/>
    <mergeCell ref="L408:N408"/>
    <mergeCell ref="L409:N414"/>
    <mergeCell ref="O408:Q408"/>
    <mergeCell ref="O409:Q414"/>
    <mergeCell ref="A415:A421"/>
    <mergeCell ref="B415:B421"/>
    <mergeCell ref="C415:C421"/>
    <mergeCell ref="D415:D421"/>
    <mergeCell ref="F415:H415"/>
    <mergeCell ref="G416:H416"/>
    <mergeCell ref="G421:H421"/>
    <mergeCell ref="I415:K415"/>
    <mergeCell ref="I416:K421"/>
    <mergeCell ref="L415:N415"/>
    <mergeCell ref="L416:N421"/>
    <mergeCell ref="F408:H408"/>
    <mergeCell ref="G409:H409"/>
    <mergeCell ref="G414:H414"/>
    <mergeCell ref="I408:K408"/>
    <mergeCell ref="I409:K414"/>
    <mergeCell ref="A408:A414"/>
    <mergeCell ref="B408:B414"/>
    <mergeCell ref="C408:C414"/>
    <mergeCell ref="D408:D414"/>
    <mergeCell ref="O394:Q394"/>
    <mergeCell ref="O395:Q400"/>
    <mergeCell ref="A401:A407"/>
    <mergeCell ref="B401:B407"/>
    <mergeCell ref="C401:C407"/>
    <mergeCell ref="D401:D407"/>
    <mergeCell ref="F401:H401"/>
    <mergeCell ref="G402:H402"/>
    <mergeCell ref="G407:H407"/>
    <mergeCell ref="I401:K401"/>
    <mergeCell ref="I402:K407"/>
    <mergeCell ref="L401:N401"/>
    <mergeCell ref="L402:N407"/>
    <mergeCell ref="O401:Q401"/>
    <mergeCell ref="O402:Q407"/>
    <mergeCell ref="L388:N393"/>
    <mergeCell ref="O387:Q387"/>
    <mergeCell ref="O388:Q393"/>
    <mergeCell ref="A394:A400"/>
    <mergeCell ref="B394:B400"/>
    <mergeCell ref="C394:C400"/>
    <mergeCell ref="D394:D400"/>
    <mergeCell ref="E394:E400"/>
    <mergeCell ref="F394:H394"/>
    <mergeCell ref="G395:H395"/>
    <mergeCell ref="G400:H400"/>
    <mergeCell ref="I394:K394"/>
    <mergeCell ref="J395:K395"/>
    <mergeCell ref="J400:K400"/>
    <mergeCell ref="L394:N394"/>
    <mergeCell ref="L395:N400"/>
    <mergeCell ref="L380:N380"/>
    <mergeCell ref="L381:N386"/>
    <mergeCell ref="O380:Q380"/>
    <mergeCell ref="O381:Q386"/>
    <mergeCell ref="A387:A393"/>
    <mergeCell ref="B387:B393"/>
    <mergeCell ref="C387:C393"/>
    <mergeCell ref="D387:D393"/>
    <mergeCell ref="E387:E393"/>
    <mergeCell ref="F387:H387"/>
    <mergeCell ref="G388:H388"/>
    <mergeCell ref="G393:H393"/>
    <mergeCell ref="I387:K387"/>
    <mergeCell ref="J388:K388"/>
    <mergeCell ref="J393:K393"/>
    <mergeCell ref="L387:N387"/>
    <mergeCell ref="F380:H380"/>
    <mergeCell ref="G381:H381"/>
    <mergeCell ref="G386:H386"/>
    <mergeCell ref="I380:K380"/>
    <mergeCell ref="J381:K381"/>
    <mergeCell ref="J386:K386"/>
    <mergeCell ref="A380:A386"/>
    <mergeCell ref="B380:B386"/>
    <mergeCell ref="C380:C386"/>
    <mergeCell ref="D380:D386"/>
    <mergeCell ref="E380:E386"/>
    <mergeCell ref="O366:Q366"/>
    <mergeCell ref="O367:Q372"/>
    <mergeCell ref="A373:A379"/>
    <mergeCell ref="B373:B379"/>
    <mergeCell ref="C373:C379"/>
    <mergeCell ref="D373:D379"/>
    <mergeCell ref="E373:E379"/>
    <mergeCell ref="F373:H373"/>
    <mergeCell ref="G374:H374"/>
    <mergeCell ref="G379:H379"/>
    <mergeCell ref="I373:K373"/>
    <mergeCell ref="I374:K379"/>
    <mergeCell ref="L373:N373"/>
    <mergeCell ref="L374:N379"/>
    <mergeCell ref="O373:Q373"/>
    <mergeCell ref="O374:Q379"/>
    <mergeCell ref="L359:N359"/>
    <mergeCell ref="L360:N365"/>
    <mergeCell ref="O359:Q359"/>
    <mergeCell ref="O360:Q365"/>
    <mergeCell ref="A366:A372"/>
    <mergeCell ref="B366:B372"/>
    <mergeCell ref="C366:C372"/>
    <mergeCell ref="D366:D372"/>
    <mergeCell ref="E366:E372"/>
    <mergeCell ref="F366:H366"/>
    <mergeCell ref="G367:H367"/>
    <mergeCell ref="G372:H372"/>
    <mergeCell ref="I366:K366"/>
    <mergeCell ref="I367:K372"/>
    <mergeCell ref="L366:N366"/>
    <mergeCell ref="L367:N372"/>
    <mergeCell ref="F359:H359"/>
    <mergeCell ref="G360:H360"/>
    <mergeCell ref="G365:H365"/>
    <mergeCell ref="I359:K359"/>
    <mergeCell ref="I360:K365"/>
    <mergeCell ref="A359:A365"/>
    <mergeCell ref="B359:B365"/>
    <mergeCell ref="C359:C365"/>
    <mergeCell ref="D359:D365"/>
    <mergeCell ref="O346:Q351"/>
    <mergeCell ref="A352:A358"/>
    <mergeCell ref="B352:B358"/>
    <mergeCell ref="C352:C358"/>
    <mergeCell ref="D352:D358"/>
    <mergeCell ref="E352:E358"/>
    <mergeCell ref="F352:H352"/>
    <mergeCell ref="G353:H353"/>
    <mergeCell ref="G358:H358"/>
    <mergeCell ref="I352:K352"/>
    <mergeCell ref="J353:K353"/>
    <mergeCell ref="J358:K358"/>
    <mergeCell ref="L352:N352"/>
    <mergeCell ref="L353:N358"/>
    <mergeCell ref="O352:Q352"/>
    <mergeCell ref="O353:Q358"/>
    <mergeCell ref="O338:Q338"/>
    <mergeCell ref="O339:Q344"/>
    <mergeCell ref="L345:N345"/>
    <mergeCell ref="L346:N351"/>
    <mergeCell ref="O345:Q345"/>
    <mergeCell ref="A345:A351"/>
    <mergeCell ref="B345:B351"/>
    <mergeCell ref="C345:C351"/>
    <mergeCell ref="D345:D351"/>
    <mergeCell ref="E345:E351"/>
    <mergeCell ref="F345:H345"/>
    <mergeCell ref="G346:H346"/>
    <mergeCell ref="G351:H351"/>
    <mergeCell ref="I345:K345"/>
    <mergeCell ref="J346:K346"/>
    <mergeCell ref="J351:K351"/>
    <mergeCell ref="L332:N337"/>
    <mergeCell ref="O331:Q331"/>
    <mergeCell ref="O332:Q337"/>
    <mergeCell ref="A338:A344"/>
    <mergeCell ref="B338:B344"/>
    <mergeCell ref="C338:C344"/>
    <mergeCell ref="D338:D344"/>
    <mergeCell ref="E338:E344"/>
    <mergeCell ref="F338:H338"/>
    <mergeCell ref="G339:H339"/>
    <mergeCell ref="G344:H344"/>
    <mergeCell ref="I338:K338"/>
    <mergeCell ref="J339:K339"/>
    <mergeCell ref="J344:K344"/>
    <mergeCell ref="L338:N338"/>
    <mergeCell ref="L339:N344"/>
    <mergeCell ref="L324:N324"/>
    <mergeCell ref="L325:N330"/>
    <mergeCell ref="O324:Q324"/>
    <mergeCell ref="O325:Q330"/>
    <mergeCell ref="A331:A337"/>
    <mergeCell ref="B331:B337"/>
    <mergeCell ref="C331:C337"/>
    <mergeCell ref="D331:D337"/>
    <mergeCell ref="E331:E337"/>
    <mergeCell ref="F331:H331"/>
    <mergeCell ref="G332:H332"/>
    <mergeCell ref="G337:H337"/>
    <mergeCell ref="I331:K331"/>
    <mergeCell ref="J332:K332"/>
    <mergeCell ref="J337:K337"/>
    <mergeCell ref="L331:N331"/>
    <mergeCell ref="F324:H324"/>
    <mergeCell ref="G325:H325"/>
    <mergeCell ref="G330:H330"/>
    <mergeCell ref="I324:K324"/>
    <mergeCell ref="J325:K325"/>
    <mergeCell ref="J330:K330"/>
    <mergeCell ref="A324:A330"/>
    <mergeCell ref="B324:B330"/>
    <mergeCell ref="C324:C330"/>
    <mergeCell ref="D324:D330"/>
    <mergeCell ref="E324:E330"/>
    <mergeCell ref="O311:Q316"/>
    <mergeCell ref="A317:A323"/>
    <mergeCell ref="B317:B323"/>
    <mergeCell ref="C317:C323"/>
    <mergeCell ref="D317:D323"/>
    <mergeCell ref="E317:E323"/>
    <mergeCell ref="F317:H317"/>
    <mergeCell ref="G318:H318"/>
    <mergeCell ref="G323:H323"/>
    <mergeCell ref="I317:K317"/>
    <mergeCell ref="J318:K318"/>
    <mergeCell ref="J323:K323"/>
    <mergeCell ref="L317:N317"/>
    <mergeCell ref="L318:N323"/>
    <mergeCell ref="O317:Q317"/>
    <mergeCell ref="O318:Q323"/>
    <mergeCell ref="O303:Q303"/>
    <mergeCell ref="O304:Q309"/>
    <mergeCell ref="A310:A316"/>
    <mergeCell ref="B310:B316"/>
    <mergeCell ref="C310:C316"/>
    <mergeCell ref="D310:D316"/>
    <mergeCell ref="E310:E316"/>
    <mergeCell ref="F310:H310"/>
    <mergeCell ref="G311:H311"/>
    <mergeCell ref="G316:H316"/>
    <mergeCell ref="I310:K310"/>
    <mergeCell ref="J311:K311"/>
    <mergeCell ref="J316:K316"/>
    <mergeCell ref="L310:N310"/>
    <mergeCell ref="L311:N316"/>
    <mergeCell ref="O310:Q310"/>
    <mergeCell ref="L297:N302"/>
    <mergeCell ref="O296:Q296"/>
    <mergeCell ref="O297:Q302"/>
    <mergeCell ref="A303:A309"/>
    <mergeCell ref="B303:B309"/>
    <mergeCell ref="C303:C309"/>
    <mergeCell ref="D303:D309"/>
    <mergeCell ref="E303:E309"/>
    <mergeCell ref="F303:H303"/>
    <mergeCell ref="G304:H304"/>
    <mergeCell ref="G309:H309"/>
    <mergeCell ref="I303:K303"/>
    <mergeCell ref="J304:K304"/>
    <mergeCell ref="J309:K309"/>
    <mergeCell ref="L303:N303"/>
    <mergeCell ref="L304:N309"/>
    <mergeCell ref="L289:N289"/>
    <mergeCell ref="L290:N295"/>
    <mergeCell ref="O289:Q289"/>
    <mergeCell ref="O290:Q295"/>
    <mergeCell ref="A296:A302"/>
    <mergeCell ref="B296:B302"/>
    <mergeCell ref="C296:C302"/>
    <mergeCell ref="D296:D302"/>
    <mergeCell ref="E296:E302"/>
    <mergeCell ref="F296:H296"/>
    <mergeCell ref="G297:H297"/>
    <mergeCell ref="G302:H302"/>
    <mergeCell ref="I296:K296"/>
    <mergeCell ref="J297:K297"/>
    <mergeCell ref="J302:K302"/>
    <mergeCell ref="L296:N296"/>
    <mergeCell ref="F289:H289"/>
    <mergeCell ref="G290:H290"/>
    <mergeCell ref="G295:H295"/>
    <mergeCell ref="I289:K289"/>
    <mergeCell ref="J290:K290"/>
    <mergeCell ref="J295:K295"/>
    <mergeCell ref="A289:A295"/>
    <mergeCell ref="B289:B295"/>
    <mergeCell ref="C289:C295"/>
    <mergeCell ref="D289:D295"/>
    <mergeCell ref="E289:E295"/>
    <mergeCell ref="L282:N282"/>
    <mergeCell ref="M283:N283"/>
    <mergeCell ref="M288:N288"/>
    <mergeCell ref="O282:Q282"/>
    <mergeCell ref="P283:Q283"/>
    <mergeCell ref="P288:Q288"/>
    <mergeCell ref="F282:H282"/>
    <mergeCell ref="G283:H283"/>
    <mergeCell ref="G288:H288"/>
    <mergeCell ref="I282:K282"/>
    <mergeCell ref="J283:K283"/>
    <mergeCell ref="J288:K288"/>
    <mergeCell ref="A282:A288"/>
    <mergeCell ref="B282:B288"/>
    <mergeCell ref="C282:C288"/>
    <mergeCell ref="D282:D288"/>
    <mergeCell ref="E282:E288"/>
    <mergeCell ref="O269:Q274"/>
    <mergeCell ref="A275:A281"/>
    <mergeCell ref="B275:B281"/>
    <mergeCell ref="C275:C281"/>
    <mergeCell ref="D275:D281"/>
    <mergeCell ref="E275:E281"/>
    <mergeCell ref="F275:H275"/>
    <mergeCell ref="G276:H276"/>
    <mergeCell ref="G281:H281"/>
    <mergeCell ref="I275:K275"/>
    <mergeCell ref="J276:K276"/>
    <mergeCell ref="J281:K281"/>
    <mergeCell ref="L275:N275"/>
    <mergeCell ref="L276:N281"/>
    <mergeCell ref="O275:Q275"/>
    <mergeCell ref="O276:Q281"/>
    <mergeCell ref="O261:Q261"/>
    <mergeCell ref="O262:Q267"/>
    <mergeCell ref="A268:A274"/>
    <mergeCell ref="B268:B274"/>
    <mergeCell ref="C268:C274"/>
    <mergeCell ref="D268:D274"/>
    <mergeCell ref="E268:E274"/>
    <mergeCell ref="F268:H268"/>
    <mergeCell ref="G269:H269"/>
    <mergeCell ref="G274:H274"/>
    <mergeCell ref="I268:K268"/>
    <mergeCell ref="J269:K269"/>
    <mergeCell ref="J274:K274"/>
    <mergeCell ref="L268:N268"/>
    <mergeCell ref="L269:N274"/>
    <mergeCell ref="O268:Q268"/>
    <mergeCell ref="L255:N260"/>
    <mergeCell ref="O254:Q254"/>
    <mergeCell ref="O255:Q260"/>
    <mergeCell ref="A261:A267"/>
    <mergeCell ref="B261:B267"/>
    <mergeCell ref="C261:C267"/>
    <mergeCell ref="D261:D267"/>
    <mergeCell ref="E261:E267"/>
    <mergeCell ref="F261:H261"/>
    <mergeCell ref="G262:H262"/>
    <mergeCell ref="G267:H267"/>
    <mergeCell ref="I261:K261"/>
    <mergeCell ref="J262:K262"/>
    <mergeCell ref="J267:K267"/>
    <mergeCell ref="L261:N261"/>
    <mergeCell ref="L262:N267"/>
    <mergeCell ref="L247:N247"/>
    <mergeCell ref="L248:N253"/>
    <mergeCell ref="O247:Q247"/>
    <mergeCell ref="O248:Q253"/>
    <mergeCell ref="A254:A260"/>
    <mergeCell ref="B254:B260"/>
    <mergeCell ref="C254:C260"/>
    <mergeCell ref="D254:D260"/>
    <mergeCell ref="E254:E260"/>
    <mergeCell ref="F254:H254"/>
    <mergeCell ref="G255:H255"/>
    <mergeCell ref="G260:H260"/>
    <mergeCell ref="I254:K254"/>
    <mergeCell ref="J255:K255"/>
    <mergeCell ref="J260:K260"/>
    <mergeCell ref="L254:N254"/>
    <mergeCell ref="F247:H247"/>
    <mergeCell ref="G248:H248"/>
    <mergeCell ref="G253:H253"/>
    <mergeCell ref="I247:K247"/>
    <mergeCell ref="J248:K248"/>
    <mergeCell ref="J253:K253"/>
    <mergeCell ref="A247:A253"/>
    <mergeCell ref="B247:B253"/>
    <mergeCell ref="C247:C253"/>
    <mergeCell ref="D247:D253"/>
    <mergeCell ref="E247:E253"/>
    <mergeCell ref="L240:N240"/>
    <mergeCell ref="M241:N241"/>
    <mergeCell ref="M246:N246"/>
    <mergeCell ref="O240:Q240"/>
    <mergeCell ref="P241:Q241"/>
    <mergeCell ref="P246:Q246"/>
    <mergeCell ref="F240:H240"/>
    <mergeCell ref="G241:H241"/>
    <mergeCell ref="G246:H246"/>
    <mergeCell ref="I240:K240"/>
    <mergeCell ref="J241:K241"/>
    <mergeCell ref="J246:K246"/>
    <mergeCell ref="A240:A246"/>
    <mergeCell ref="B240:B246"/>
    <mergeCell ref="C240:C246"/>
    <mergeCell ref="D240:D246"/>
    <mergeCell ref="O227:Q232"/>
    <mergeCell ref="A233:A239"/>
    <mergeCell ref="B233:B239"/>
    <mergeCell ref="C233:C239"/>
    <mergeCell ref="D233:D239"/>
    <mergeCell ref="F233:H233"/>
    <mergeCell ref="G234:H234"/>
    <mergeCell ref="G239:H239"/>
    <mergeCell ref="I233:K233"/>
    <mergeCell ref="J234:K234"/>
    <mergeCell ref="J239:K239"/>
    <mergeCell ref="L233:N233"/>
    <mergeCell ref="L234:N239"/>
    <mergeCell ref="O233:Q233"/>
    <mergeCell ref="O234:Q239"/>
    <mergeCell ref="O219:Q219"/>
    <mergeCell ref="O220:Q225"/>
    <mergeCell ref="O226:Q226"/>
    <mergeCell ref="A226:A232"/>
    <mergeCell ref="B226:B232"/>
    <mergeCell ref="C226:C232"/>
    <mergeCell ref="D226:D232"/>
    <mergeCell ref="F226:H226"/>
    <mergeCell ref="G227:H227"/>
    <mergeCell ref="G232:H232"/>
    <mergeCell ref="E226:E232"/>
    <mergeCell ref="I226:K226"/>
    <mergeCell ref="J227:K227"/>
    <mergeCell ref="J232:K232"/>
    <mergeCell ref="L226:N226"/>
    <mergeCell ref="L227:N232"/>
    <mergeCell ref="L213:N218"/>
    <mergeCell ref="O212:Q212"/>
    <mergeCell ref="O213:Q218"/>
    <mergeCell ref="A219:A225"/>
    <mergeCell ref="B219:B225"/>
    <mergeCell ref="C219:C225"/>
    <mergeCell ref="D219:D225"/>
    <mergeCell ref="F219:H219"/>
    <mergeCell ref="G220:H220"/>
    <mergeCell ref="G225:H225"/>
    <mergeCell ref="I219:K219"/>
    <mergeCell ref="J220:K220"/>
    <mergeCell ref="J225:K225"/>
    <mergeCell ref="L219:N219"/>
    <mergeCell ref="L220:N225"/>
    <mergeCell ref="L205:N205"/>
    <mergeCell ref="L206:N211"/>
    <mergeCell ref="O205:Q205"/>
    <mergeCell ref="O206:Q211"/>
    <mergeCell ref="A212:A218"/>
    <mergeCell ref="B212:B218"/>
    <mergeCell ref="C212:C218"/>
    <mergeCell ref="D212:D218"/>
    <mergeCell ref="F212:H212"/>
    <mergeCell ref="G213:H213"/>
    <mergeCell ref="G218:H218"/>
    <mergeCell ref="I212:K212"/>
    <mergeCell ref="J213:K213"/>
    <mergeCell ref="J218:K218"/>
    <mergeCell ref="L212:N212"/>
    <mergeCell ref="F205:H205"/>
    <mergeCell ref="G206:H206"/>
    <mergeCell ref="G211:H211"/>
    <mergeCell ref="I205:K205"/>
    <mergeCell ref="J206:K206"/>
    <mergeCell ref="J211:K211"/>
    <mergeCell ref="A205:A211"/>
    <mergeCell ref="B205:B211"/>
    <mergeCell ref="C205:C211"/>
    <mergeCell ref="D205:D211"/>
    <mergeCell ref="M199:N199"/>
    <mergeCell ref="M204:N204"/>
    <mergeCell ref="A198:A204"/>
    <mergeCell ref="B198:B204"/>
    <mergeCell ref="C198:C204"/>
    <mergeCell ref="D198:D204"/>
    <mergeCell ref="F198:H198"/>
    <mergeCell ref="G199:H199"/>
    <mergeCell ref="G204:H204"/>
    <mergeCell ref="I198:K198"/>
    <mergeCell ref="J199:K199"/>
    <mergeCell ref="J204:K204"/>
    <mergeCell ref="O198:Q198"/>
    <mergeCell ref="P199:Q199"/>
    <mergeCell ref="P204:Q204"/>
    <mergeCell ref="L191:N191"/>
    <mergeCell ref="L192:N197"/>
    <mergeCell ref="O191:Q191"/>
    <mergeCell ref="O192:Q197"/>
    <mergeCell ref="L198:N198"/>
    <mergeCell ref="F191:H191"/>
    <mergeCell ref="G192:H192"/>
    <mergeCell ref="G197:H197"/>
    <mergeCell ref="I191:K191"/>
    <mergeCell ref="J192:K192"/>
    <mergeCell ref="J197:K197"/>
    <mergeCell ref="A191:A197"/>
    <mergeCell ref="B191:B197"/>
    <mergeCell ref="C191:C197"/>
    <mergeCell ref="D191:D197"/>
    <mergeCell ref="O177:Q177"/>
    <mergeCell ref="O178:Q183"/>
    <mergeCell ref="A184:A190"/>
    <mergeCell ref="B184:B190"/>
    <mergeCell ref="C184:C190"/>
    <mergeCell ref="D184:D190"/>
    <mergeCell ref="E184:E190"/>
    <mergeCell ref="F184:H184"/>
    <mergeCell ref="G185:H185"/>
    <mergeCell ref="G190:H190"/>
    <mergeCell ref="I184:K184"/>
    <mergeCell ref="I185:K190"/>
    <mergeCell ref="L184:N184"/>
    <mergeCell ref="L185:N190"/>
    <mergeCell ref="O184:Q184"/>
    <mergeCell ref="O185:Q190"/>
    <mergeCell ref="L170:N170"/>
    <mergeCell ref="L171:N176"/>
    <mergeCell ref="O170:Q170"/>
    <mergeCell ref="O171:Q176"/>
    <mergeCell ref="L177:N177"/>
    <mergeCell ref="L178:N183"/>
    <mergeCell ref="A177:A183"/>
    <mergeCell ref="B177:B183"/>
    <mergeCell ref="C177:C183"/>
    <mergeCell ref="D177:D183"/>
    <mergeCell ref="E177:E183"/>
    <mergeCell ref="F177:H177"/>
    <mergeCell ref="G178:H178"/>
    <mergeCell ref="G183:H183"/>
    <mergeCell ref="I177:K177"/>
    <mergeCell ref="I178:K183"/>
    <mergeCell ref="F170:H170"/>
    <mergeCell ref="G171:H171"/>
    <mergeCell ref="G176:H176"/>
    <mergeCell ref="I170:K170"/>
    <mergeCell ref="I171:K176"/>
    <mergeCell ref="A170:A176"/>
    <mergeCell ref="B170:B176"/>
    <mergeCell ref="C170:C176"/>
    <mergeCell ref="D170:D176"/>
    <mergeCell ref="E170:E176"/>
    <mergeCell ref="O156:Q156"/>
    <mergeCell ref="O157:Q162"/>
    <mergeCell ref="A163:A169"/>
    <mergeCell ref="B163:B169"/>
    <mergeCell ref="C163:C169"/>
    <mergeCell ref="D163:D169"/>
    <mergeCell ref="E163:E169"/>
    <mergeCell ref="F163:H163"/>
    <mergeCell ref="G164:H164"/>
    <mergeCell ref="G169:H169"/>
    <mergeCell ref="I163:K163"/>
    <mergeCell ref="I164:K169"/>
    <mergeCell ref="L163:N163"/>
    <mergeCell ref="L164:N169"/>
    <mergeCell ref="O163:Q163"/>
    <mergeCell ref="O164:Q169"/>
    <mergeCell ref="L149:N149"/>
    <mergeCell ref="L150:N155"/>
    <mergeCell ref="O149:Q149"/>
    <mergeCell ref="O150:Q155"/>
    <mergeCell ref="A156:A162"/>
    <mergeCell ref="B156:B162"/>
    <mergeCell ref="C156:C162"/>
    <mergeCell ref="D156:D162"/>
    <mergeCell ref="E156:E162"/>
    <mergeCell ref="F156:H156"/>
    <mergeCell ref="G157:H157"/>
    <mergeCell ref="G162:H162"/>
    <mergeCell ref="I156:K156"/>
    <mergeCell ref="I157:K162"/>
    <mergeCell ref="L156:N156"/>
    <mergeCell ref="L157:N162"/>
    <mergeCell ref="F149:H149"/>
    <mergeCell ref="G150:H150"/>
    <mergeCell ref="G155:H155"/>
    <mergeCell ref="I149:K149"/>
    <mergeCell ref="I150:K155"/>
    <mergeCell ref="A149:A155"/>
    <mergeCell ref="B149:B155"/>
    <mergeCell ref="C149:C155"/>
    <mergeCell ref="D149:D155"/>
    <mergeCell ref="O135:Q135"/>
    <mergeCell ref="O136:Q141"/>
    <mergeCell ref="A142:A148"/>
    <mergeCell ref="B142:B148"/>
    <mergeCell ref="C142:C148"/>
    <mergeCell ref="D142:D148"/>
    <mergeCell ref="E142:E148"/>
    <mergeCell ref="F142:H142"/>
    <mergeCell ref="G143:H143"/>
    <mergeCell ref="G148:H148"/>
    <mergeCell ref="I142:K142"/>
    <mergeCell ref="I143:K148"/>
    <mergeCell ref="L142:N142"/>
    <mergeCell ref="L143:N148"/>
    <mergeCell ref="O142:Q142"/>
    <mergeCell ref="O143:Q148"/>
    <mergeCell ref="L128:N128"/>
    <mergeCell ref="L129:N134"/>
    <mergeCell ref="O128:Q128"/>
    <mergeCell ref="O129:Q134"/>
    <mergeCell ref="L135:N135"/>
    <mergeCell ref="L136:N141"/>
    <mergeCell ref="A135:A141"/>
    <mergeCell ref="B135:B141"/>
    <mergeCell ref="C135:C141"/>
    <mergeCell ref="D135:D141"/>
    <mergeCell ref="E135:E141"/>
    <mergeCell ref="F135:H135"/>
    <mergeCell ref="G136:H136"/>
    <mergeCell ref="G141:H141"/>
    <mergeCell ref="I135:K135"/>
    <mergeCell ref="I136:K141"/>
    <mergeCell ref="F128:H128"/>
    <mergeCell ref="G129:H129"/>
    <mergeCell ref="G134:H134"/>
    <mergeCell ref="I128:K128"/>
    <mergeCell ref="I129:K134"/>
    <mergeCell ref="A128:A134"/>
    <mergeCell ref="B128:B134"/>
    <mergeCell ref="C128:C134"/>
    <mergeCell ref="D128:D134"/>
    <mergeCell ref="E128:E134"/>
    <mergeCell ref="O114:Q114"/>
    <mergeCell ref="O115:Q120"/>
    <mergeCell ref="A121:A127"/>
    <mergeCell ref="B121:B127"/>
    <mergeCell ref="C121:C127"/>
    <mergeCell ref="D121:D127"/>
    <mergeCell ref="E121:E127"/>
    <mergeCell ref="F121:H121"/>
    <mergeCell ref="G122:H122"/>
    <mergeCell ref="G127:H127"/>
    <mergeCell ref="I121:K121"/>
    <mergeCell ref="I122:K127"/>
    <mergeCell ref="L121:N121"/>
    <mergeCell ref="L122:N127"/>
    <mergeCell ref="O121:Q121"/>
    <mergeCell ref="O122:Q127"/>
    <mergeCell ref="L107:N107"/>
    <mergeCell ref="L108:N113"/>
    <mergeCell ref="O107:Q107"/>
    <mergeCell ref="O108:Q113"/>
    <mergeCell ref="A114:A120"/>
    <mergeCell ref="B114:B120"/>
    <mergeCell ref="C114:C120"/>
    <mergeCell ref="D114:D120"/>
    <mergeCell ref="E114:E120"/>
    <mergeCell ref="F114:H114"/>
    <mergeCell ref="G115:H115"/>
    <mergeCell ref="G120:H120"/>
    <mergeCell ref="I114:K114"/>
    <mergeCell ref="I115:K120"/>
    <mergeCell ref="L114:N114"/>
    <mergeCell ref="L115:N120"/>
    <mergeCell ref="F107:H107"/>
    <mergeCell ref="G108:H108"/>
    <mergeCell ref="G113:H113"/>
    <mergeCell ref="I107:K107"/>
    <mergeCell ref="J108:K108"/>
    <mergeCell ref="J113:K113"/>
    <mergeCell ref="A107:A113"/>
    <mergeCell ref="B107:B113"/>
    <mergeCell ref="C107:C113"/>
    <mergeCell ref="D107:D113"/>
    <mergeCell ref="E107:E113"/>
    <mergeCell ref="O93:Q93"/>
    <mergeCell ref="O94:Q99"/>
    <mergeCell ref="A100:A106"/>
    <mergeCell ref="B100:B106"/>
    <mergeCell ref="C100:C106"/>
    <mergeCell ref="D100:D106"/>
    <mergeCell ref="E100:E106"/>
    <mergeCell ref="F100:H100"/>
    <mergeCell ref="G101:H101"/>
    <mergeCell ref="G106:H106"/>
    <mergeCell ref="I100:K100"/>
    <mergeCell ref="I101:K106"/>
    <mergeCell ref="L100:N100"/>
    <mergeCell ref="L101:N106"/>
    <mergeCell ref="O100:Q100"/>
    <mergeCell ref="O101:Q106"/>
    <mergeCell ref="L86:N86"/>
    <mergeCell ref="L87:N92"/>
    <mergeCell ref="O86:Q86"/>
    <mergeCell ref="O87:Q92"/>
    <mergeCell ref="A93:A99"/>
    <mergeCell ref="B93:B99"/>
    <mergeCell ref="C93:C99"/>
    <mergeCell ref="D93:D99"/>
    <mergeCell ref="E93:E99"/>
    <mergeCell ref="F93:H93"/>
    <mergeCell ref="G94:H94"/>
    <mergeCell ref="G99:H99"/>
    <mergeCell ref="I93:K93"/>
    <mergeCell ref="I94:K99"/>
    <mergeCell ref="L93:N93"/>
    <mergeCell ref="L94:N99"/>
    <mergeCell ref="F86:H86"/>
    <mergeCell ref="G87:H87"/>
    <mergeCell ref="G92:H92"/>
    <mergeCell ref="I86:K86"/>
    <mergeCell ref="J87:K87"/>
    <mergeCell ref="J92:K92"/>
    <mergeCell ref="A86:A92"/>
    <mergeCell ref="B86:B92"/>
    <mergeCell ref="C86:C92"/>
    <mergeCell ref="D86:D92"/>
    <mergeCell ref="E86:E92"/>
    <mergeCell ref="O72:Q72"/>
    <mergeCell ref="O73:Q78"/>
    <mergeCell ref="A79:A85"/>
    <mergeCell ref="B79:B85"/>
    <mergeCell ref="C79:C85"/>
    <mergeCell ref="D79:D85"/>
    <mergeCell ref="E79:E85"/>
    <mergeCell ref="F79:H79"/>
    <mergeCell ref="G80:H80"/>
    <mergeCell ref="G85:H85"/>
    <mergeCell ref="I79:K79"/>
    <mergeCell ref="I80:K85"/>
    <mergeCell ref="L79:N79"/>
    <mergeCell ref="L80:N85"/>
    <mergeCell ref="O79:Q79"/>
    <mergeCell ref="O80:Q85"/>
    <mergeCell ref="L65:N65"/>
    <mergeCell ref="L66:N71"/>
    <mergeCell ref="O65:Q65"/>
    <mergeCell ref="O66:Q71"/>
    <mergeCell ref="A72:A78"/>
    <mergeCell ref="B72:B78"/>
    <mergeCell ref="C72:C78"/>
    <mergeCell ref="D72:D78"/>
    <mergeCell ref="E72:E78"/>
    <mergeCell ref="F72:H72"/>
    <mergeCell ref="G73:H73"/>
    <mergeCell ref="G78:H78"/>
    <mergeCell ref="I72:K72"/>
    <mergeCell ref="I73:K78"/>
    <mergeCell ref="L72:N72"/>
    <mergeCell ref="L73:N78"/>
    <mergeCell ref="F65:H65"/>
    <mergeCell ref="G66:H66"/>
    <mergeCell ref="G71:H71"/>
    <mergeCell ref="I65:K65"/>
    <mergeCell ref="I66:K71"/>
    <mergeCell ref="A65:A71"/>
    <mergeCell ref="B65:B71"/>
    <mergeCell ref="C65:C71"/>
    <mergeCell ref="D65:D71"/>
    <mergeCell ref="E65:E71"/>
    <mergeCell ref="O52:Q57"/>
    <mergeCell ref="A58:A64"/>
    <mergeCell ref="B58:B64"/>
    <mergeCell ref="C58:C64"/>
    <mergeCell ref="D58:D64"/>
    <mergeCell ref="E58:E64"/>
    <mergeCell ref="F58:H58"/>
    <mergeCell ref="G59:H59"/>
    <mergeCell ref="G64:H64"/>
    <mergeCell ref="I58:K58"/>
    <mergeCell ref="I59:K64"/>
    <mergeCell ref="L58:N58"/>
    <mergeCell ref="L59:N64"/>
    <mergeCell ref="O58:Q58"/>
    <mergeCell ref="O59:Q64"/>
    <mergeCell ref="O44:Q44"/>
    <mergeCell ref="O45:Q50"/>
    <mergeCell ref="A51:A57"/>
    <mergeCell ref="B51:B57"/>
    <mergeCell ref="C51:C57"/>
    <mergeCell ref="D51:D57"/>
    <mergeCell ref="E51:E57"/>
    <mergeCell ref="F51:H51"/>
    <mergeCell ref="G52:H52"/>
    <mergeCell ref="G57:H57"/>
    <mergeCell ref="I51:K51"/>
    <mergeCell ref="J52:K52"/>
    <mergeCell ref="J57:K57"/>
    <mergeCell ref="L51:N51"/>
    <mergeCell ref="L52:N57"/>
    <mergeCell ref="O51:Q51"/>
    <mergeCell ref="L37:N37"/>
    <mergeCell ref="L38:N43"/>
    <mergeCell ref="O37:Q37"/>
    <mergeCell ref="O38:Q43"/>
    <mergeCell ref="A44:A50"/>
    <mergeCell ref="B44:B50"/>
    <mergeCell ref="C44:C50"/>
    <mergeCell ref="D44:D50"/>
    <mergeCell ref="E44:E50"/>
    <mergeCell ref="F44:H44"/>
    <mergeCell ref="G45:H45"/>
    <mergeCell ref="G50:H50"/>
    <mergeCell ref="I44:K44"/>
    <mergeCell ref="I45:K50"/>
    <mergeCell ref="L44:N44"/>
    <mergeCell ref="L45:N50"/>
    <mergeCell ref="F37:H37"/>
    <mergeCell ref="G38:H38"/>
    <mergeCell ref="G43:H43"/>
    <mergeCell ref="I37:K37"/>
    <mergeCell ref="I38:K43"/>
    <mergeCell ref="A37:A43"/>
    <mergeCell ref="B37:B43"/>
    <mergeCell ref="C37:C43"/>
    <mergeCell ref="D37:D43"/>
    <mergeCell ref="O23:Q23"/>
    <mergeCell ref="O24:Q29"/>
    <mergeCell ref="A30:A36"/>
    <mergeCell ref="B30:B36"/>
    <mergeCell ref="C30:C36"/>
    <mergeCell ref="D30:D36"/>
    <mergeCell ref="F30:H30"/>
    <mergeCell ref="G31:H31"/>
    <mergeCell ref="G36:H36"/>
    <mergeCell ref="I30:K30"/>
    <mergeCell ref="I31:K36"/>
    <mergeCell ref="L30:N30"/>
    <mergeCell ref="L31:N36"/>
    <mergeCell ref="O30:Q30"/>
    <mergeCell ref="O31:Q36"/>
    <mergeCell ref="L16:N16"/>
    <mergeCell ref="L17:N22"/>
    <mergeCell ref="O16:Q16"/>
    <mergeCell ref="O17:Q22"/>
    <mergeCell ref="A23:A29"/>
    <mergeCell ref="B23:B29"/>
    <mergeCell ref="C23:C29"/>
    <mergeCell ref="D23:D29"/>
    <mergeCell ref="F23:H23"/>
    <mergeCell ref="G24:H24"/>
    <mergeCell ref="G29:H29"/>
    <mergeCell ref="I23:K23"/>
    <mergeCell ref="I24:K29"/>
    <mergeCell ref="L23:N23"/>
    <mergeCell ref="L24:N29"/>
    <mergeCell ref="F16:H16"/>
    <mergeCell ref="G17:H17"/>
    <mergeCell ref="G22:H22"/>
    <mergeCell ref="I16:K16"/>
    <mergeCell ref="I17:K22"/>
    <mergeCell ref="A16:A22"/>
    <mergeCell ref="B16:B22"/>
    <mergeCell ref="C16:C22"/>
    <mergeCell ref="D16:D22"/>
    <mergeCell ref="O3:Q8"/>
    <mergeCell ref="A9:A15"/>
    <mergeCell ref="B9:B15"/>
    <mergeCell ref="C9:C15"/>
    <mergeCell ref="D9:D15"/>
    <mergeCell ref="F9:H9"/>
    <mergeCell ref="G10:H10"/>
    <mergeCell ref="G15:H15"/>
    <mergeCell ref="I9:K9"/>
    <mergeCell ref="J10:K10"/>
    <mergeCell ref="J15:K15"/>
    <mergeCell ref="L9:N9"/>
    <mergeCell ref="L10:N15"/>
    <mergeCell ref="O9:Q9"/>
    <mergeCell ref="O10:Q15"/>
    <mergeCell ref="E16:E22"/>
    <mergeCell ref="B1:C1"/>
    <mergeCell ref="F1:Q1"/>
    <mergeCell ref="I2:K2"/>
    <mergeCell ref="J3:K3"/>
    <mergeCell ref="J8:K8"/>
    <mergeCell ref="L2:N2"/>
    <mergeCell ref="L3:N8"/>
    <mergeCell ref="O2:Q2"/>
    <mergeCell ref="E9:E15"/>
    <mergeCell ref="A2:A8"/>
    <mergeCell ref="B2:B8"/>
    <mergeCell ref="C2:C8"/>
    <mergeCell ref="D2:D8"/>
    <mergeCell ref="F2:H2"/>
    <mergeCell ref="G3:H3"/>
    <mergeCell ref="G8:H8"/>
    <mergeCell ref="E2:E8"/>
    <mergeCell ref="E23:E29"/>
    <mergeCell ref="E30:E36"/>
    <mergeCell ref="E37:E43"/>
    <mergeCell ref="E149:E155"/>
    <mergeCell ref="E191:E197"/>
    <mergeCell ref="E198:E204"/>
    <mergeCell ref="E205:E211"/>
    <mergeCell ref="E212:E218"/>
    <mergeCell ref="E219:E225"/>
    <mergeCell ref="E233:E239"/>
    <mergeCell ref="E240:E246"/>
    <mergeCell ref="E359:E365"/>
    <mergeCell ref="E401:E407"/>
    <mergeCell ref="E408:E414"/>
    <mergeCell ref="E443:E449"/>
    <mergeCell ref="E590:E596"/>
    <mergeCell ref="E597:E60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Q491"/>
  <sheetViews>
    <sheetView showGridLines="0" workbookViewId="0">
      <selection activeCell="J407" sqref="J407"/>
    </sheetView>
  </sheetViews>
  <sheetFormatPr defaultRowHeight="14.25"/>
  <cols>
    <col min="1" max="1" width="7" style="11" customWidth="1"/>
    <col min="2" max="2" width="22" style="11" customWidth="1"/>
    <col min="3" max="3" width="18" style="11" customWidth="1"/>
    <col min="4" max="4" width="13" style="11" customWidth="1"/>
    <col min="5" max="5" width="18" style="11" customWidth="1"/>
    <col min="6" max="27" width="9" style="11" customWidth="1"/>
    <col min="28" max="16384" width="9" style="11"/>
  </cols>
  <sheetData>
    <row r="1" spans="1:17" ht="27.95" customHeight="1">
      <c r="A1" s="70" t="s">
        <v>42</v>
      </c>
      <c r="B1" s="71" t="s">
        <v>43</v>
      </c>
      <c r="C1" s="71" t="s">
        <v>43</v>
      </c>
      <c r="D1" s="72" t="s">
        <v>44</v>
      </c>
      <c r="E1" s="73" t="s">
        <v>45</v>
      </c>
      <c r="F1" s="71" t="s">
        <v>46</v>
      </c>
      <c r="G1" s="71" t="s">
        <v>46</v>
      </c>
      <c r="H1" s="74" t="s">
        <v>46</v>
      </c>
      <c r="I1" s="71" t="s">
        <v>46</v>
      </c>
      <c r="J1" s="71" t="s">
        <v>46</v>
      </c>
      <c r="K1" s="74" t="s">
        <v>46</v>
      </c>
      <c r="L1" s="71" t="s">
        <v>46</v>
      </c>
      <c r="M1" s="71" t="s">
        <v>46</v>
      </c>
      <c r="N1" s="74" t="s">
        <v>46</v>
      </c>
      <c r="O1" s="71" t="s">
        <v>46</v>
      </c>
      <c r="P1" s="71" t="s">
        <v>46</v>
      </c>
      <c r="Q1" s="74" t="s">
        <v>46</v>
      </c>
    </row>
    <row r="2" spans="1:17" ht="14.45" customHeight="1">
      <c r="A2" s="75">
        <v>1</v>
      </c>
      <c r="B2" s="76"/>
      <c r="C2" s="77" t="s">
        <v>201</v>
      </c>
      <c r="D2" s="77" t="s">
        <v>48</v>
      </c>
      <c r="E2" s="78" t="s">
        <v>202</v>
      </c>
      <c r="F2" s="79" t="s">
        <v>50</v>
      </c>
      <c r="G2" s="79" t="s">
        <v>50</v>
      </c>
      <c r="H2" s="80" t="s">
        <v>50</v>
      </c>
      <c r="I2" s="79"/>
      <c r="J2" s="79"/>
      <c r="K2" s="80"/>
      <c r="L2" s="79"/>
      <c r="M2" s="79"/>
      <c r="N2" s="80"/>
      <c r="O2" s="79"/>
      <c r="P2" s="79"/>
      <c r="Q2" s="80"/>
    </row>
    <row r="3" spans="1:17" ht="60" customHeight="1">
      <c r="A3" s="81">
        <v>1</v>
      </c>
      <c r="B3" s="82"/>
      <c r="C3" s="83" t="s">
        <v>201</v>
      </c>
      <c r="D3" s="83" t="s">
        <v>48</v>
      </c>
      <c r="E3" s="84" t="s">
        <v>202</v>
      </c>
      <c r="F3" s="85"/>
      <c r="G3" s="86"/>
      <c r="H3" s="87"/>
      <c r="I3" s="86"/>
      <c r="J3" s="86"/>
      <c r="K3" s="87"/>
      <c r="L3" s="86"/>
      <c r="M3" s="86"/>
      <c r="N3" s="87"/>
      <c r="O3" s="86"/>
      <c r="P3" s="86"/>
      <c r="Q3" s="87"/>
    </row>
    <row r="4" spans="1:17" ht="45" customHeight="1">
      <c r="A4" s="81">
        <v>1</v>
      </c>
      <c r="B4" s="82"/>
      <c r="C4" s="83" t="s">
        <v>201</v>
      </c>
      <c r="D4" s="83" t="s">
        <v>48</v>
      </c>
      <c r="E4" s="84" t="s">
        <v>202</v>
      </c>
      <c r="F4" s="85"/>
      <c r="G4" s="85"/>
      <c r="H4" s="88"/>
      <c r="I4" s="86"/>
      <c r="J4" s="86"/>
      <c r="K4" s="87"/>
      <c r="L4" s="86"/>
      <c r="M4" s="86"/>
      <c r="N4" s="87"/>
      <c r="O4" s="86"/>
      <c r="P4" s="86"/>
      <c r="Q4" s="87"/>
    </row>
    <row r="5" spans="1:17" ht="14.45" customHeight="1">
      <c r="A5" s="81">
        <v>1</v>
      </c>
      <c r="B5" s="82"/>
      <c r="C5" s="83" t="s">
        <v>201</v>
      </c>
      <c r="D5" s="83" t="s">
        <v>48</v>
      </c>
      <c r="E5" s="84" t="s">
        <v>202</v>
      </c>
      <c r="F5" s="89">
        <v>1755</v>
      </c>
      <c r="G5" s="89">
        <v>9099</v>
      </c>
      <c r="H5" s="90">
        <v>1859</v>
      </c>
      <c r="I5" s="86"/>
      <c r="J5" s="86"/>
      <c r="K5" s="87"/>
      <c r="L5" s="86"/>
      <c r="M5" s="86"/>
      <c r="N5" s="87"/>
      <c r="O5" s="86"/>
      <c r="P5" s="86"/>
      <c r="Q5" s="87"/>
    </row>
    <row r="6" spans="1:17" ht="45" customHeight="1">
      <c r="A6" s="81">
        <v>1</v>
      </c>
      <c r="B6" s="82"/>
      <c r="C6" s="83" t="s">
        <v>201</v>
      </c>
      <c r="D6" s="83" t="s">
        <v>48</v>
      </c>
      <c r="E6" s="84" t="s">
        <v>202</v>
      </c>
      <c r="F6" s="85"/>
      <c r="G6" s="85"/>
      <c r="H6" s="88"/>
      <c r="I6" s="86"/>
      <c r="J6" s="86"/>
      <c r="K6" s="87"/>
      <c r="L6" s="86"/>
      <c r="M6" s="86"/>
      <c r="N6" s="87"/>
      <c r="O6" s="86"/>
      <c r="P6" s="86"/>
      <c r="Q6" s="87"/>
    </row>
    <row r="7" spans="1:17" ht="14.45" customHeight="1">
      <c r="A7" s="81">
        <v>1</v>
      </c>
      <c r="B7" s="82"/>
      <c r="C7" s="83" t="s">
        <v>201</v>
      </c>
      <c r="D7" s="83" t="s">
        <v>48</v>
      </c>
      <c r="E7" s="84" t="s">
        <v>202</v>
      </c>
      <c r="F7" s="89">
        <v>1683</v>
      </c>
      <c r="G7" s="89">
        <v>1940</v>
      </c>
      <c r="H7" s="90">
        <v>65</v>
      </c>
      <c r="I7" s="86"/>
      <c r="J7" s="86"/>
      <c r="K7" s="87"/>
      <c r="L7" s="86"/>
      <c r="M7" s="86"/>
      <c r="N7" s="87"/>
      <c r="O7" s="86"/>
      <c r="P7" s="86"/>
      <c r="Q7" s="87"/>
    </row>
    <row r="8" spans="1:17" ht="24" customHeight="1">
      <c r="A8" s="91">
        <v>1</v>
      </c>
      <c r="B8" s="92"/>
      <c r="C8" s="93" t="s">
        <v>201</v>
      </c>
      <c r="D8" s="93" t="s">
        <v>48</v>
      </c>
      <c r="E8" s="94" t="s">
        <v>202</v>
      </c>
      <c r="F8" s="95" t="s">
        <v>56</v>
      </c>
      <c r="G8" s="96">
        <v>3810000</v>
      </c>
      <c r="H8" s="97">
        <v>3810000</v>
      </c>
      <c r="I8" s="98"/>
      <c r="J8" s="98"/>
      <c r="K8" s="99"/>
      <c r="L8" s="98"/>
      <c r="M8" s="98"/>
      <c r="N8" s="99"/>
      <c r="O8" s="98"/>
      <c r="P8" s="98"/>
      <c r="Q8" s="99"/>
    </row>
    <row r="9" spans="1:17" ht="14.45" customHeight="1">
      <c r="A9" s="75">
        <v>2</v>
      </c>
      <c r="B9" s="76"/>
      <c r="C9" s="77" t="s">
        <v>203</v>
      </c>
      <c r="D9" s="77" t="s">
        <v>48</v>
      </c>
      <c r="E9" s="78" t="s">
        <v>202</v>
      </c>
      <c r="F9" s="79" t="s">
        <v>50</v>
      </c>
      <c r="G9" s="79" t="s">
        <v>50</v>
      </c>
      <c r="H9" s="80" t="s">
        <v>50</v>
      </c>
      <c r="I9" s="79"/>
      <c r="J9" s="79"/>
      <c r="K9" s="80"/>
      <c r="L9" s="79"/>
      <c r="M9" s="79"/>
      <c r="N9" s="80"/>
      <c r="O9" s="79"/>
      <c r="P9" s="79"/>
      <c r="Q9" s="80"/>
    </row>
    <row r="10" spans="1:17" ht="60" customHeight="1">
      <c r="A10" s="81">
        <v>2</v>
      </c>
      <c r="B10" s="82"/>
      <c r="C10" s="83" t="s">
        <v>203</v>
      </c>
      <c r="D10" s="83" t="s">
        <v>48</v>
      </c>
      <c r="E10" s="84" t="s">
        <v>202</v>
      </c>
      <c r="F10" s="85"/>
      <c r="G10" s="86"/>
      <c r="H10" s="87"/>
      <c r="I10" s="86"/>
      <c r="J10" s="86"/>
      <c r="K10" s="87"/>
      <c r="L10" s="86"/>
      <c r="M10" s="86"/>
      <c r="N10" s="87"/>
      <c r="O10" s="86"/>
      <c r="P10" s="86"/>
      <c r="Q10" s="87"/>
    </row>
    <row r="11" spans="1:17" ht="45" customHeight="1">
      <c r="A11" s="81">
        <v>2</v>
      </c>
      <c r="B11" s="82"/>
      <c r="C11" s="83" t="s">
        <v>203</v>
      </c>
      <c r="D11" s="83" t="s">
        <v>48</v>
      </c>
      <c r="E11" s="84" t="s">
        <v>202</v>
      </c>
      <c r="F11" s="85"/>
      <c r="G11" s="85"/>
      <c r="H11" s="88"/>
      <c r="I11" s="86"/>
      <c r="J11" s="86"/>
      <c r="K11" s="87"/>
      <c r="L11" s="86"/>
      <c r="M11" s="86"/>
      <c r="N11" s="87"/>
      <c r="O11" s="86"/>
      <c r="P11" s="86"/>
      <c r="Q11" s="87"/>
    </row>
    <row r="12" spans="1:17" ht="14.45" customHeight="1">
      <c r="A12" s="81">
        <v>2</v>
      </c>
      <c r="B12" s="82"/>
      <c r="C12" s="83" t="s">
        <v>203</v>
      </c>
      <c r="D12" s="83" t="s">
        <v>48</v>
      </c>
      <c r="E12" s="84" t="s">
        <v>202</v>
      </c>
      <c r="F12" s="89">
        <v>1755</v>
      </c>
      <c r="G12" s="89">
        <v>9099</v>
      </c>
      <c r="H12" s="90">
        <v>1859</v>
      </c>
      <c r="I12" s="86"/>
      <c r="J12" s="86"/>
      <c r="K12" s="87"/>
      <c r="L12" s="86"/>
      <c r="M12" s="86"/>
      <c r="N12" s="87"/>
      <c r="O12" s="86"/>
      <c r="P12" s="86"/>
      <c r="Q12" s="87"/>
    </row>
    <row r="13" spans="1:17" ht="45" customHeight="1">
      <c r="A13" s="81">
        <v>2</v>
      </c>
      <c r="B13" s="82"/>
      <c r="C13" s="83" t="s">
        <v>203</v>
      </c>
      <c r="D13" s="83" t="s">
        <v>48</v>
      </c>
      <c r="E13" s="84" t="s">
        <v>202</v>
      </c>
      <c r="F13" s="85"/>
      <c r="G13" s="85"/>
      <c r="H13" s="88"/>
      <c r="I13" s="86"/>
      <c r="J13" s="86"/>
      <c r="K13" s="87"/>
      <c r="L13" s="86"/>
      <c r="M13" s="86"/>
      <c r="N13" s="87"/>
      <c r="O13" s="86"/>
      <c r="P13" s="86"/>
      <c r="Q13" s="87"/>
    </row>
    <row r="14" spans="1:17" ht="14.45" customHeight="1">
      <c r="A14" s="81">
        <v>2</v>
      </c>
      <c r="B14" s="82"/>
      <c r="C14" s="83" t="s">
        <v>203</v>
      </c>
      <c r="D14" s="83" t="s">
        <v>48</v>
      </c>
      <c r="E14" s="84" t="s">
        <v>202</v>
      </c>
      <c r="F14" s="89">
        <v>1683</v>
      </c>
      <c r="G14" s="89">
        <v>1940</v>
      </c>
      <c r="H14" s="90">
        <v>65</v>
      </c>
      <c r="I14" s="86"/>
      <c r="J14" s="86"/>
      <c r="K14" s="87"/>
      <c r="L14" s="86"/>
      <c r="M14" s="86"/>
      <c r="N14" s="87"/>
      <c r="O14" s="86"/>
      <c r="P14" s="86"/>
      <c r="Q14" s="87"/>
    </row>
    <row r="15" spans="1:17" ht="24" customHeight="1">
      <c r="A15" s="91">
        <v>2</v>
      </c>
      <c r="B15" s="92"/>
      <c r="C15" s="93" t="s">
        <v>203</v>
      </c>
      <c r="D15" s="93" t="s">
        <v>48</v>
      </c>
      <c r="E15" s="94" t="s">
        <v>202</v>
      </c>
      <c r="F15" s="95" t="s">
        <v>56</v>
      </c>
      <c r="G15" s="96">
        <v>3810000</v>
      </c>
      <c r="H15" s="97">
        <v>3810000</v>
      </c>
      <c r="I15" s="98"/>
      <c r="J15" s="98"/>
      <c r="K15" s="99"/>
      <c r="L15" s="98"/>
      <c r="M15" s="98"/>
      <c r="N15" s="99"/>
      <c r="O15" s="98"/>
      <c r="P15" s="98"/>
      <c r="Q15" s="99"/>
    </row>
    <row r="16" spans="1:17" ht="14.45" customHeight="1">
      <c r="A16" s="75">
        <v>3</v>
      </c>
      <c r="B16" s="76"/>
      <c r="C16" s="77" t="s">
        <v>204</v>
      </c>
      <c r="D16" s="77" t="s">
        <v>48</v>
      </c>
      <c r="E16" s="78" t="s">
        <v>202</v>
      </c>
      <c r="F16" s="79" t="s">
        <v>50</v>
      </c>
      <c r="G16" s="79" t="s">
        <v>50</v>
      </c>
      <c r="H16" s="80" t="s">
        <v>50</v>
      </c>
      <c r="I16" s="79"/>
      <c r="J16" s="79"/>
      <c r="K16" s="80"/>
      <c r="L16" s="79"/>
      <c r="M16" s="79"/>
      <c r="N16" s="80"/>
      <c r="O16" s="79"/>
      <c r="P16" s="79"/>
      <c r="Q16" s="80"/>
    </row>
    <row r="17" spans="1:17" ht="60" customHeight="1">
      <c r="A17" s="81">
        <v>3</v>
      </c>
      <c r="B17" s="82"/>
      <c r="C17" s="83" t="s">
        <v>204</v>
      </c>
      <c r="D17" s="83" t="s">
        <v>48</v>
      </c>
      <c r="E17" s="84" t="s">
        <v>202</v>
      </c>
      <c r="F17" s="85"/>
      <c r="G17" s="86"/>
      <c r="H17" s="87"/>
      <c r="I17" s="86"/>
      <c r="J17" s="86"/>
      <c r="K17" s="87"/>
      <c r="L17" s="86"/>
      <c r="M17" s="86"/>
      <c r="N17" s="87"/>
      <c r="O17" s="86"/>
      <c r="P17" s="86"/>
      <c r="Q17" s="87"/>
    </row>
    <row r="18" spans="1:17" ht="45" customHeight="1">
      <c r="A18" s="81">
        <v>3</v>
      </c>
      <c r="B18" s="82"/>
      <c r="C18" s="83" t="s">
        <v>204</v>
      </c>
      <c r="D18" s="83" t="s">
        <v>48</v>
      </c>
      <c r="E18" s="84" t="s">
        <v>202</v>
      </c>
      <c r="F18" s="85"/>
      <c r="G18" s="85"/>
      <c r="H18" s="88"/>
      <c r="I18" s="86"/>
      <c r="J18" s="86"/>
      <c r="K18" s="87"/>
      <c r="L18" s="86"/>
      <c r="M18" s="86"/>
      <c r="N18" s="87"/>
      <c r="O18" s="86"/>
      <c r="P18" s="86"/>
      <c r="Q18" s="87"/>
    </row>
    <row r="19" spans="1:17" ht="14.45" customHeight="1">
      <c r="A19" s="81">
        <v>3</v>
      </c>
      <c r="B19" s="82"/>
      <c r="C19" s="83" t="s">
        <v>204</v>
      </c>
      <c r="D19" s="83" t="s">
        <v>48</v>
      </c>
      <c r="E19" s="84" t="s">
        <v>202</v>
      </c>
      <c r="F19" s="89">
        <v>1755</v>
      </c>
      <c r="G19" s="89">
        <v>9099</v>
      </c>
      <c r="H19" s="90">
        <v>1859</v>
      </c>
      <c r="I19" s="86"/>
      <c r="J19" s="86"/>
      <c r="K19" s="87"/>
      <c r="L19" s="86"/>
      <c r="M19" s="86"/>
      <c r="N19" s="87"/>
      <c r="O19" s="86"/>
      <c r="P19" s="86"/>
      <c r="Q19" s="87"/>
    </row>
    <row r="20" spans="1:17" ht="45" customHeight="1">
      <c r="A20" s="81">
        <v>3</v>
      </c>
      <c r="B20" s="82"/>
      <c r="C20" s="83" t="s">
        <v>204</v>
      </c>
      <c r="D20" s="83" t="s">
        <v>48</v>
      </c>
      <c r="E20" s="84" t="s">
        <v>202</v>
      </c>
      <c r="F20" s="85"/>
      <c r="G20" s="85"/>
      <c r="H20" s="88"/>
      <c r="I20" s="86"/>
      <c r="J20" s="86"/>
      <c r="K20" s="87"/>
      <c r="L20" s="86"/>
      <c r="M20" s="86"/>
      <c r="N20" s="87"/>
      <c r="O20" s="86"/>
      <c r="P20" s="86"/>
      <c r="Q20" s="87"/>
    </row>
    <row r="21" spans="1:17" ht="14.45" customHeight="1">
      <c r="A21" s="81">
        <v>3</v>
      </c>
      <c r="B21" s="82"/>
      <c r="C21" s="83" t="s">
        <v>204</v>
      </c>
      <c r="D21" s="83" t="s">
        <v>48</v>
      </c>
      <c r="E21" s="84" t="s">
        <v>202</v>
      </c>
      <c r="F21" s="89">
        <v>1683</v>
      </c>
      <c r="G21" s="89">
        <v>1940</v>
      </c>
      <c r="H21" s="90">
        <v>65</v>
      </c>
      <c r="I21" s="86"/>
      <c r="J21" s="86"/>
      <c r="K21" s="87"/>
      <c r="L21" s="86"/>
      <c r="M21" s="86"/>
      <c r="N21" s="87"/>
      <c r="O21" s="86"/>
      <c r="P21" s="86"/>
      <c r="Q21" s="87"/>
    </row>
    <row r="22" spans="1:17" ht="24" customHeight="1">
      <c r="A22" s="91">
        <v>3</v>
      </c>
      <c r="B22" s="92"/>
      <c r="C22" s="93" t="s">
        <v>204</v>
      </c>
      <c r="D22" s="93" t="s">
        <v>48</v>
      </c>
      <c r="E22" s="94" t="s">
        <v>202</v>
      </c>
      <c r="F22" s="95" t="s">
        <v>56</v>
      </c>
      <c r="G22" s="96">
        <v>3810000</v>
      </c>
      <c r="H22" s="97">
        <v>3810000</v>
      </c>
      <c r="I22" s="98"/>
      <c r="J22" s="98"/>
      <c r="K22" s="99"/>
      <c r="L22" s="98"/>
      <c r="M22" s="98"/>
      <c r="N22" s="99"/>
      <c r="O22" s="98"/>
      <c r="P22" s="98"/>
      <c r="Q22" s="99"/>
    </row>
    <row r="23" spans="1:17" ht="14.45" customHeight="1">
      <c r="A23" s="75">
        <v>4</v>
      </c>
      <c r="B23" s="76"/>
      <c r="C23" s="77" t="s">
        <v>205</v>
      </c>
      <c r="D23" s="77" t="s">
        <v>48</v>
      </c>
      <c r="E23" s="78" t="s">
        <v>202</v>
      </c>
      <c r="F23" s="79" t="s">
        <v>50</v>
      </c>
      <c r="G23" s="79" t="s">
        <v>50</v>
      </c>
      <c r="H23" s="80" t="s">
        <v>50</v>
      </c>
      <c r="I23" s="79"/>
      <c r="J23" s="79"/>
      <c r="K23" s="80"/>
      <c r="L23" s="79"/>
      <c r="M23" s="79"/>
      <c r="N23" s="80"/>
      <c r="O23" s="79"/>
      <c r="P23" s="79"/>
      <c r="Q23" s="80"/>
    </row>
    <row r="24" spans="1:17" ht="60" customHeight="1">
      <c r="A24" s="81">
        <v>4</v>
      </c>
      <c r="B24" s="82"/>
      <c r="C24" s="83" t="s">
        <v>205</v>
      </c>
      <c r="D24" s="83" t="s">
        <v>48</v>
      </c>
      <c r="E24" s="84" t="s">
        <v>202</v>
      </c>
      <c r="F24" s="85"/>
      <c r="G24" s="86"/>
      <c r="H24" s="87"/>
      <c r="I24" s="86"/>
      <c r="J24" s="86"/>
      <c r="K24" s="87"/>
      <c r="L24" s="86"/>
      <c r="M24" s="86"/>
      <c r="N24" s="87"/>
      <c r="O24" s="86"/>
      <c r="P24" s="86"/>
      <c r="Q24" s="87"/>
    </row>
    <row r="25" spans="1:17" ht="45" customHeight="1">
      <c r="A25" s="81">
        <v>4</v>
      </c>
      <c r="B25" s="82"/>
      <c r="C25" s="83" t="s">
        <v>205</v>
      </c>
      <c r="D25" s="83" t="s">
        <v>48</v>
      </c>
      <c r="E25" s="84" t="s">
        <v>202</v>
      </c>
      <c r="F25" s="85"/>
      <c r="G25" s="85"/>
      <c r="H25" s="88"/>
      <c r="I25" s="86"/>
      <c r="J25" s="86"/>
      <c r="K25" s="87"/>
      <c r="L25" s="86"/>
      <c r="M25" s="86"/>
      <c r="N25" s="87"/>
      <c r="O25" s="86"/>
      <c r="P25" s="86"/>
      <c r="Q25" s="87"/>
    </row>
    <row r="26" spans="1:17" ht="14.45" customHeight="1">
      <c r="A26" s="81">
        <v>4</v>
      </c>
      <c r="B26" s="82"/>
      <c r="C26" s="83" t="s">
        <v>205</v>
      </c>
      <c r="D26" s="83" t="s">
        <v>48</v>
      </c>
      <c r="E26" s="84" t="s">
        <v>202</v>
      </c>
      <c r="F26" s="89">
        <v>1755</v>
      </c>
      <c r="G26" s="89">
        <v>9099</v>
      </c>
      <c r="H26" s="90">
        <v>1859</v>
      </c>
      <c r="I26" s="86"/>
      <c r="J26" s="86"/>
      <c r="K26" s="87"/>
      <c r="L26" s="86"/>
      <c r="M26" s="86"/>
      <c r="N26" s="87"/>
      <c r="O26" s="86"/>
      <c r="P26" s="86"/>
      <c r="Q26" s="87"/>
    </row>
    <row r="27" spans="1:17" ht="45" customHeight="1">
      <c r="A27" s="81">
        <v>4</v>
      </c>
      <c r="B27" s="82"/>
      <c r="C27" s="83" t="s">
        <v>205</v>
      </c>
      <c r="D27" s="83" t="s">
        <v>48</v>
      </c>
      <c r="E27" s="84" t="s">
        <v>202</v>
      </c>
      <c r="F27" s="85"/>
      <c r="G27" s="85"/>
      <c r="H27" s="88"/>
      <c r="I27" s="86"/>
      <c r="J27" s="86"/>
      <c r="K27" s="87"/>
      <c r="L27" s="86"/>
      <c r="M27" s="86"/>
      <c r="N27" s="87"/>
      <c r="O27" s="86"/>
      <c r="P27" s="86"/>
      <c r="Q27" s="87"/>
    </row>
    <row r="28" spans="1:17" ht="14.45" customHeight="1">
      <c r="A28" s="81">
        <v>4</v>
      </c>
      <c r="B28" s="82"/>
      <c r="C28" s="83" t="s">
        <v>205</v>
      </c>
      <c r="D28" s="83" t="s">
        <v>48</v>
      </c>
      <c r="E28" s="84" t="s">
        <v>202</v>
      </c>
      <c r="F28" s="89">
        <v>1683</v>
      </c>
      <c r="G28" s="89">
        <v>1940</v>
      </c>
      <c r="H28" s="90">
        <v>65</v>
      </c>
      <c r="I28" s="86"/>
      <c r="J28" s="86"/>
      <c r="K28" s="87"/>
      <c r="L28" s="86"/>
      <c r="M28" s="86"/>
      <c r="N28" s="87"/>
      <c r="O28" s="86"/>
      <c r="P28" s="86"/>
      <c r="Q28" s="87"/>
    </row>
    <row r="29" spans="1:17" ht="24" customHeight="1">
      <c r="A29" s="91">
        <v>4</v>
      </c>
      <c r="B29" s="92"/>
      <c r="C29" s="93" t="s">
        <v>205</v>
      </c>
      <c r="D29" s="93" t="s">
        <v>48</v>
      </c>
      <c r="E29" s="94" t="s">
        <v>202</v>
      </c>
      <c r="F29" s="95" t="s">
        <v>56</v>
      </c>
      <c r="G29" s="96">
        <v>3810000</v>
      </c>
      <c r="H29" s="97">
        <v>3810000</v>
      </c>
      <c r="I29" s="98"/>
      <c r="J29" s="98"/>
      <c r="K29" s="99"/>
      <c r="L29" s="98"/>
      <c r="M29" s="98"/>
      <c r="N29" s="99"/>
      <c r="O29" s="98"/>
      <c r="P29" s="98"/>
      <c r="Q29" s="99"/>
    </row>
    <row r="30" spans="1:17" ht="14.45" customHeight="1">
      <c r="A30" s="75">
        <v>5</v>
      </c>
      <c r="B30" s="76"/>
      <c r="C30" s="77" t="s">
        <v>206</v>
      </c>
      <c r="D30" s="77" t="s">
        <v>48</v>
      </c>
      <c r="E30" s="78" t="s">
        <v>207</v>
      </c>
      <c r="F30" s="79" t="s">
        <v>50</v>
      </c>
      <c r="G30" s="79" t="s">
        <v>50</v>
      </c>
      <c r="H30" s="80" t="s">
        <v>50</v>
      </c>
      <c r="I30" s="79"/>
      <c r="J30" s="79"/>
      <c r="K30" s="80"/>
      <c r="L30" s="79"/>
      <c r="M30" s="79"/>
      <c r="N30" s="80"/>
      <c r="O30" s="79"/>
      <c r="P30" s="79"/>
      <c r="Q30" s="80"/>
    </row>
    <row r="31" spans="1:17" ht="60" customHeight="1">
      <c r="A31" s="81">
        <v>5</v>
      </c>
      <c r="B31" s="82"/>
      <c r="C31" s="83" t="s">
        <v>206</v>
      </c>
      <c r="D31" s="83" t="s">
        <v>48</v>
      </c>
      <c r="E31" s="84" t="s">
        <v>207</v>
      </c>
      <c r="F31" s="85"/>
      <c r="G31" s="86"/>
      <c r="H31" s="87"/>
      <c r="I31" s="86"/>
      <c r="J31" s="86"/>
      <c r="K31" s="87"/>
      <c r="L31" s="86"/>
      <c r="M31" s="86"/>
      <c r="N31" s="87"/>
      <c r="O31" s="86"/>
      <c r="P31" s="86"/>
      <c r="Q31" s="87"/>
    </row>
    <row r="32" spans="1:17" ht="45" customHeight="1">
      <c r="A32" s="81">
        <v>5</v>
      </c>
      <c r="B32" s="82"/>
      <c r="C32" s="83" t="s">
        <v>206</v>
      </c>
      <c r="D32" s="83" t="s">
        <v>48</v>
      </c>
      <c r="E32" s="84" t="s">
        <v>207</v>
      </c>
      <c r="F32" s="85"/>
      <c r="G32" s="85"/>
      <c r="H32" s="88"/>
      <c r="I32" s="86"/>
      <c r="J32" s="86"/>
      <c r="K32" s="87"/>
      <c r="L32" s="86"/>
      <c r="M32" s="86"/>
      <c r="N32" s="87"/>
      <c r="O32" s="86"/>
      <c r="P32" s="86"/>
      <c r="Q32" s="87"/>
    </row>
    <row r="33" spans="1:17" ht="14.45" customHeight="1">
      <c r="A33" s="81">
        <v>5</v>
      </c>
      <c r="B33" s="82"/>
      <c r="C33" s="83" t="s">
        <v>206</v>
      </c>
      <c r="D33" s="83" t="s">
        <v>48</v>
      </c>
      <c r="E33" s="84" t="s">
        <v>207</v>
      </c>
      <c r="F33" s="89">
        <v>2132</v>
      </c>
      <c r="G33" s="89">
        <v>7799</v>
      </c>
      <c r="H33" s="90">
        <v>2258</v>
      </c>
      <c r="I33" s="86"/>
      <c r="J33" s="86"/>
      <c r="K33" s="87"/>
      <c r="L33" s="86"/>
      <c r="M33" s="86"/>
      <c r="N33" s="87"/>
      <c r="O33" s="86"/>
      <c r="P33" s="86"/>
      <c r="Q33" s="87"/>
    </row>
    <row r="34" spans="1:17" ht="45" customHeight="1">
      <c r="A34" s="81">
        <v>5</v>
      </c>
      <c r="B34" s="82"/>
      <c r="C34" s="83" t="s">
        <v>206</v>
      </c>
      <c r="D34" s="83" t="s">
        <v>48</v>
      </c>
      <c r="E34" s="84" t="s">
        <v>207</v>
      </c>
      <c r="F34" s="85"/>
      <c r="G34" s="85"/>
      <c r="H34" s="88"/>
      <c r="I34" s="86"/>
      <c r="J34" s="86"/>
      <c r="K34" s="87"/>
      <c r="L34" s="86"/>
      <c r="M34" s="86"/>
      <c r="N34" s="87"/>
      <c r="O34" s="86"/>
      <c r="P34" s="86"/>
      <c r="Q34" s="87"/>
    </row>
    <row r="35" spans="1:17" ht="14.45" customHeight="1">
      <c r="A35" s="81">
        <v>5</v>
      </c>
      <c r="B35" s="82"/>
      <c r="C35" s="83" t="s">
        <v>206</v>
      </c>
      <c r="D35" s="83" t="s">
        <v>48</v>
      </c>
      <c r="E35" s="84" t="s">
        <v>207</v>
      </c>
      <c r="F35" s="89">
        <v>1788</v>
      </c>
      <c r="G35" s="89">
        <v>1732</v>
      </c>
      <c r="H35" s="90">
        <v>65</v>
      </c>
      <c r="I35" s="86"/>
      <c r="J35" s="86"/>
      <c r="K35" s="87"/>
      <c r="L35" s="86"/>
      <c r="M35" s="86"/>
      <c r="N35" s="87"/>
      <c r="O35" s="86"/>
      <c r="P35" s="86"/>
      <c r="Q35" s="87"/>
    </row>
    <row r="36" spans="1:17" ht="24" customHeight="1">
      <c r="A36" s="91">
        <v>5</v>
      </c>
      <c r="B36" s="92"/>
      <c r="C36" s="93" t="s">
        <v>206</v>
      </c>
      <c r="D36" s="93" t="s">
        <v>48</v>
      </c>
      <c r="E36" s="94" t="s">
        <v>207</v>
      </c>
      <c r="F36" s="95" t="s">
        <v>56</v>
      </c>
      <c r="G36" s="96">
        <v>3650000</v>
      </c>
      <c r="H36" s="97">
        <v>3650000</v>
      </c>
      <c r="I36" s="98"/>
      <c r="J36" s="98"/>
      <c r="K36" s="99"/>
      <c r="L36" s="98"/>
      <c r="M36" s="98"/>
      <c r="N36" s="99"/>
      <c r="O36" s="98"/>
      <c r="P36" s="98"/>
      <c r="Q36" s="99"/>
    </row>
    <row r="37" spans="1:17" ht="14.45" customHeight="1">
      <c r="A37" s="75">
        <v>6</v>
      </c>
      <c r="B37" s="76"/>
      <c r="C37" s="77" t="s">
        <v>208</v>
      </c>
      <c r="D37" s="77" t="s">
        <v>48</v>
      </c>
      <c r="E37" s="78" t="s">
        <v>207</v>
      </c>
      <c r="F37" s="79" t="s">
        <v>50</v>
      </c>
      <c r="G37" s="79" t="s">
        <v>50</v>
      </c>
      <c r="H37" s="80" t="s">
        <v>50</v>
      </c>
      <c r="I37" s="79"/>
      <c r="J37" s="79"/>
      <c r="K37" s="80"/>
      <c r="L37" s="79"/>
      <c r="M37" s="79"/>
      <c r="N37" s="80"/>
      <c r="O37" s="79"/>
      <c r="P37" s="79"/>
      <c r="Q37" s="80"/>
    </row>
    <row r="38" spans="1:17" ht="60" customHeight="1">
      <c r="A38" s="81">
        <v>6</v>
      </c>
      <c r="B38" s="82"/>
      <c r="C38" s="83" t="s">
        <v>208</v>
      </c>
      <c r="D38" s="83" t="s">
        <v>48</v>
      </c>
      <c r="E38" s="84" t="s">
        <v>207</v>
      </c>
      <c r="F38" s="85"/>
      <c r="G38" s="86"/>
      <c r="H38" s="87"/>
      <c r="I38" s="86"/>
      <c r="J38" s="86"/>
      <c r="K38" s="87"/>
      <c r="L38" s="86"/>
      <c r="M38" s="86"/>
      <c r="N38" s="87"/>
      <c r="O38" s="86"/>
      <c r="P38" s="86"/>
      <c r="Q38" s="87"/>
    </row>
    <row r="39" spans="1:17" ht="45" customHeight="1">
      <c r="A39" s="81">
        <v>6</v>
      </c>
      <c r="B39" s="82"/>
      <c r="C39" s="83" t="s">
        <v>208</v>
      </c>
      <c r="D39" s="83" t="s">
        <v>48</v>
      </c>
      <c r="E39" s="84" t="s">
        <v>207</v>
      </c>
      <c r="F39" s="85"/>
      <c r="G39" s="85"/>
      <c r="H39" s="88"/>
      <c r="I39" s="86"/>
      <c r="J39" s="86"/>
      <c r="K39" s="87"/>
      <c r="L39" s="86"/>
      <c r="M39" s="86"/>
      <c r="N39" s="87"/>
      <c r="O39" s="86"/>
      <c r="P39" s="86"/>
      <c r="Q39" s="87"/>
    </row>
    <row r="40" spans="1:17" ht="14.45" customHeight="1">
      <c r="A40" s="81">
        <v>6</v>
      </c>
      <c r="B40" s="82"/>
      <c r="C40" s="83" t="s">
        <v>208</v>
      </c>
      <c r="D40" s="83" t="s">
        <v>48</v>
      </c>
      <c r="E40" s="84" t="s">
        <v>207</v>
      </c>
      <c r="F40" s="89">
        <v>2132</v>
      </c>
      <c r="G40" s="89">
        <v>7799</v>
      </c>
      <c r="H40" s="90">
        <v>2258</v>
      </c>
      <c r="I40" s="86"/>
      <c r="J40" s="86"/>
      <c r="K40" s="87"/>
      <c r="L40" s="86"/>
      <c r="M40" s="86"/>
      <c r="N40" s="87"/>
      <c r="O40" s="86"/>
      <c r="P40" s="86"/>
      <c r="Q40" s="87"/>
    </row>
    <row r="41" spans="1:17" ht="45" customHeight="1">
      <c r="A41" s="81">
        <v>6</v>
      </c>
      <c r="B41" s="82"/>
      <c r="C41" s="83" t="s">
        <v>208</v>
      </c>
      <c r="D41" s="83" t="s">
        <v>48</v>
      </c>
      <c r="E41" s="84" t="s">
        <v>207</v>
      </c>
      <c r="F41" s="85"/>
      <c r="G41" s="85"/>
      <c r="H41" s="88"/>
      <c r="I41" s="86"/>
      <c r="J41" s="86"/>
      <c r="K41" s="87"/>
      <c r="L41" s="86"/>
      <c r="M41" s="86"/>
      <c r="N41" s="87"/>
      <c r="O41" s="86"/>
      <c r="P41" s="86"/>
      <c r="Q41" s="87"/>
    </row>
    <row r="42" spans="1:17" ht="14.45" customHeight="1">
      <c r="A42" s="81">
        <v>6</v>
      </c>
      <c r="B42" s="82"/>
      <c r="C42" s="83" t="s">
        <v>208</v>
      </c>
      <c r="D42" s="83" t="s">
        <v>48</v>
      </c>
      <c r="E42" s="84" t="s">
        <v>207</v>
      </c>
      <c r="F42" s="89">
        <v>1788</v>
      </c>
      <c r="G42" s="89">
        <v>1732</v>
      </c>
      <c r="H42" s="90">
        <v>65</v>
      </c>
      <c r="I42" s="86"/>
      <c r="J42" s="86"/>
      <c r="K42" s="87"/>
      <c r="L42" s="86"/>
      <c r="M42" s="86"/>
      <c r="N42" s="87"/>
      <c r="O42" s="86"/>
      <c r="P42" s="86"/>
      <c r="Q42" s="87"/>
    </row>
    <row r="43" spans="1:17" ht="24" customHeight="1">
      <c r="A43" s="91">
        <v>6</v>
      </c>
      <c r="B43" s="92"/>
      <c r="C43" s="93" t="s">
        <v>208</v>
      </c>
      <c r="D43" s="93" t="s">
        <v>48</v>
      </c>
      <c r="E43" s="94" t="s">
        <v>207</v>
      </c>
      <c r="F43" s="95" t="s">
        <v>56</v>
      </c>
      <c r="G43" s="96">
        <v>3650000</v>
      </c>
      <c r="H43" s="97">
        <v>3650000</v>
      </c>
      <c r="I43" s="98"/>
      <c r="J43" s="98"/>
      <c r="K43" s="99"/>
      <c r="L43" s="98"/>
      <c r="M43" s="98"/>
      <c r="N43" s="99"/>
      <c r="O43" s="98"/>
      <c r="P43" s="98"/>
      <c r="Q43" s="99"/>
    </row>
    <row r="44" spans="1:17" ht="14.45" customHeight="1">
      <c r="A44" s="75">
        <v>7</v>
      </c>
      <c r="B44" s="76"/>
      <c r="C44" s="77" t="s">
        <v>209</v>
      </c>
      <c r="D44" s="77" t="s">
        <v>48</v>
      </c>
      <c r="E44" s="78" t="s">
        <v>207</v>
      </c>
      <c r="F44" s="79" t="s">
        <v>50</v>
      </c>
      <c r="G44" s="79" t="s">
        <v>50</v>
      </c>
      <c r="H44" s="80" t="s">
        <v>50</v>
      </c>
      <c r="I44" s="79"/>
      <c r="J44" s="79"/>
      <c r="K44" s="80"/>
      <c r="L44" s="79"/>
      <c r="M44" s="79"/>
      <c r="N44" s="80"/>
      <c r="O44" s="79"/>
      <c r="P44" s="79"/>
      <c r="Q44" s="80"/>
    </row>
    <row r="45" spans="1:17" ht="60" customHeight="1">
      <c r="A45" s="81">
        <v>7</v>
      </c>
      <c r="B45" s="82"/>
      <c r="C45" s="83" t="s">
        <v>209</v>
      </c>
      <c r="D45" s="83" t="s">
        <v>48</v>
      </c>
      <c r="E45" s="84" t="s">
        <v>207</v>
      </c>
      <c r="F45" s="85"/>
      <c r="G45" s="86"/>
      <c r="H45" s="87"/>
      <c r="I45" s="86"/>
      <c r="J45" s="86"/>
      <c r="K45" s="87"/>
      <c r="L45" s="86"/>
      <c r="M45" s="86"/>
      <c r="N45" s="87"/>
      <c r="O45" s="86"/>
      <c r="P45" s="86"/>
      <c r="Q45" s="87"/>
    </row>
    <row r="46" spans="1:17" ht="45" customHeight="1">
      <c r="A46" s="81">
        <v>7</v>
      </c>
      <c r="B46" s="82"/>
      <c r="C46" s="83" t="s">
        <v>209</v>
      </c>
      <c r="D46" s="83" t="s">
        <v>48</v>
      </c>
      <c r="E46" s="84" t="s">
        <v>207</v>
      </c>
      <c r="F46" s="85"/>
      <c r="G46" s="85"/>
      <c r="H46" s="88"/>
      <c r="I46" s="86"/>
      <c r="J46" s="86"/>
      <c r="K46" s="87"/>
      <c r="L46" s="86"/>
      <c r="M46" s="86"/>
      <c r="N46" s="87"/>
      <c r="O46" s="86"/>
      <c r="P46" s="86"/>
      <c r="Q46" s="87"/>
    </row>
    <row r="47" spans="1:17" ht="14.45" customHeight="1">
      <c r="A47" s="81">
        <v>7</v>
      </c>
      <c r="B47" s="82"/>
      <c r="C47" s="83" t="s">
        <v>209</v>
      </c>
      <c r="D47" s="83" t="s">
        <v>48</v>
      </c>
      <c r="E47" s="84" t="s">
        <v>207</v>
      </c>
      <c r="F47" s="89">
        <v>2132</v>
      </c>
      <c r="G47" s="89">
        <v>7799</v>
      </c>
      <c r="H47" s="90">
        <v>2258</v>
      </c>
      <c r="I47" s="86"/>
      <c r="J47" s="86"/>
      <c r="K47" s="87"/>
      <c r="L47" s="86"/>
      <c r="M47" s="86"/>
      <c r="N47" s="87"/>
      <c r="O47" s="86"/>
      <c r="P47" s="86"/>
      <c r="Q47" s="87"/>
    </row>
    <row r="48" spans="1:17" ht="45" customHeight="1">
      <c r="A48" s="81">
        <v>7</v>
      </c>
      <c r="B48" s="82"/>
      <c r="C48" s="83" t="s">
        <v>209</v>
      </c>
      <c r="D48" s="83" t="s">
        <v>48</v>
      </c>
      <c r="E48" s="84" t="s">
        <v>207</v>
      </c>
      <c r="F48" s="85"/>
      <c r="G48" s="85"/>
      <c r="H48" s="88"/>
      <c r="I48" s="86"/>
      <c r="J48" s="86"/>
      <c r="K48" s="87"/>
      <c r="L48" s="86"/>
      <c r="M48" s="86"/>
      <c r="N48" s="87"/>
      <c r="O48" s="86"/>
      <c r="P48" s="86"/>
      <c r="Q48" s="87"/>
    </row>
    <row r="49" spans="1:17" ht="14.45" customHeight="1">
      <c r="A49" s="81">
        <v>7</v>
      </c>
      <c r="B49" s="82"/>
      <c r="C49" s="83" t="s">
        <v>209</v>
      </c>
      <c r="D49" s="83" t="s">
        <v>48</v>
      </c>
      <c r="E49" s="84" t="s">
        <v>207</v>
      </c>
      <c r="F49" s="89">
        <v>1788</v>
      </c>
      <c r="G49" s="89">
        <v>1732</v>
      </c>
      <c r="H49" s="90">
        <v>65</v>
      </c>
      <c r="I49" s="86"/>
      <c r="J49" s="86"/>
      <c r="K49" s="87"/>
      <c r="L49" s="86"/>
      <c r="M49" s="86"/>
      <c r="N49" s="87"/>
      <c r="O49" s="86"/>
      <c r="P49" s="86"/>
      <c r="Q49" s="87"/>
    </row>
    <row r="50" spans="1:17" ht="24" customHeight="1">
      <c r="A50" s="91">
        <v>7</v>
      </c>
      <c r="B50" s="92"/>
      <c r="C50" s="93" t="s">
        <v>209</v>
      </c>
      <c r="D50" s="93" t="s">
        <v>48</v>
      </c>
      <c r="E50" s="94" t="s">
        <v>207</v>
      </c>
      <c r="F50" s="95" t="s">
        <v>56</v>
      </c>
      <c r="G50" s="96">
        <v>3650000</v>
      </c>
      <c r="H50" s="97">
        <v>3650000</v>
      </c>
      <c r="I50" s="98"/>
      <c r="J50" s="98"/>
      <c r="K50" s="99"/>
      <c r="L50" s="98"/>
      <c r="M50" s="98"/>
      <c r="N50" s="99"/>
      <c r="O50" s="98"/>
      <c r="P50" s="98"/>
      <c r="Q50" s="99"/>
    </row>
    <row r="51" spans="1:17" ht="14.45" customHeight="1">
      <c r="A51" s="75">
        <v>8</v>
      </c>
      <c r="B51" s="76"/>
      <c r="C51" s="77" t="s">
        <v>210</v>
      </c>
      <c r="D51" s="77" t="s">
        <v>48</v>
      </c>
      <c r="E51" s="78" t="s">
        <v>207</v>
      </c>
      <c r="F51" s="79" t="s">
        <v>50</v>
      </c>
      <c r="G51" s="79" t="s">
        <v>50</v>
      </c>
      <c r="H51" s="80" t="s">
        <v>50</v>
      </c>
      <c r="I51" s="79"/>
      <c r="J51" s="79"/>
      <c r="K51" s="80"/>
      <c r="L51" s="79"/>
      <c r="M51" s="79"/>
      <c r="N51" s="80"/>
      <c r="O51" s="79"/>
      <c r="P51" s="79"/>
      <c r="Q51" s="80"/>
    </row>
    <row r="52" spans="1:17" ht="60" customHeight="1">
      <c r="A52" s="81">
        <v>8</v>
      </c>
      <c r="B52" s="82"/>
      <c r="C52" s="83" t="s">
        <v>210</v>
      </c>
      <c r="D52" s="83" t="s">
        <v>48</v>
      </c>
      <c r="E52" s="84" t="s">
        <v>207</v>
      </c>
      <c r="F52" s="85"/>
      <c r="G52" s="86"/>
      <c r="H52" s="87"/>
      <c r="I52" s="86"/>
      <c r="J52" s="86"/>
      <c r="K52" s="87"/>
      <c r="L52" s="86"/>
      <c r="M52" s="86"/>
      <c r="N52" s="87"/>
      <c r="O52" s="86"/>
      <c r="P52" s="86"/>
      <c r="Q52" s="87"/>
    </row>
    <row r="53" spans="1:17" ht="45" customHeight="1">
      <c r="A53" s="81">
        <v>8</v>
      </c>
      <c r="B53" s="82"/>
      <c r="C53" s="83" t="s">
        <v>210</v>
      </c>
      <c r="D53" s="83" t="s">
        <v>48</v>
      </c>
      <c r="E53" s="84" t="s">
        <v>207</v>
      </c>
      <c r="F53" s="85"/>
      <c r="G53" s="85"/>
      <c r="H53" s="88"/>
      <c r="I53" s="86"/>
      <c r="J53" s="86"/>
      <c r="K53" s="87"/>
      <c r="L53" s="86"/>
      <c r="M53" s="86"/>
      <c r="N53" s="87"/>
      <c r="O53" s="86"/>
      <c r="P53" s="86"/>
      <c r="Q53" s="87"/>
    </row>
    <row r="54" spans="1:17" ht="14.45" customHeight="1">
      <c r="A54" s="81">
        <v>8</v>
      </c>
      <c r="B54" s="82"/>
      <c r="C54" s="83" t="s">
        <v>210</v>
      </c>
      <c r="D54" s="83" t="s">
        <v>48</v>
      </c>
      <c r="E54" s="84" t="s">
        <v>207</v>
      </c>
      <c r="F54" s="89">
        <v>2132</v>
      </c>
      <c r="G54" s="89">
        <v>7799</v>
      </c>
      <c r="H54" s="90">
        <v>2258</v>
      </c>
      <c r="I54" s="86"/>
      <c r="J54" s="86"/>
      <c r="K54" s="87"/>
      <c r="L54" s="86"/>
      <c r="M54" s="86"/>
      <c r="N54" s="87"/>
      <c r="O54" s="86"/>
      <c r="P54" s="86"/>
      <c r="Q54" s="87"/>
    </row>
    <row r="55" spans="1:17" ht="45" customHeight="1">
      <c r="A55" s="81">
        <v>8</v>
      </c>
      <c r="B55" s="82"/>
      <c r="C55" s="83" t="s">
        <v>210</v>
      </c>
      <c r="D55" s="83" t="s">
        <v>48</v>
      </c>
      <c r="E55" s="84" t="s">
        <v>207</v>
      </c>
      <c r="F55" s="85"/>
      <c r="G55" s="85"/>
      <c r="H55" s="88"/>
      <c r="I55" s="86"/>
      <c r="J55" s="86"/>
      <c r="K55" s="87"/>
      <c r="L55" s="86"/>
      <c r="M55" s="86"/>
      <c r="N55" s="87"/>
      <c r="O55" s="86"/>
      <c r="P55" s="86"/>
      <c r="Q55" s="87"/>
    </row>
    <row r="56" spans="1:17" ht="14.45" customHeight="1">
      <c r="A56" s="81">
        <v>8</v>
      </c>
      <c r="B56" s="82"/>
      <c r="C56" s="83" t="s">
        <v>210</v>
      </c>
      <c r="D56" s="83" t="s">
        <v>48</v>
      </c>
      <c r="E56" s="84" t="s">
        <v>207</v>
      </c>
      <c r="F56" s="89">
        <v>1788</v>
      </c>
      <c r="G56" s="89">
        <v>1732</v>
      </c>
      <c r="H56" s="90">
        <v>65</v>
      </c>
      <c r="I56" s="86"/>
      <c r="J56" s="86"/>
      <c r="K56" s="87"/>
      <c r="L56" s="86"/>
      <c r="M56" s="86"/>
      <c r="N56" s="87"/>
      <c r="O56" s="86"/>
      <c r="P56" s="86"/>
      <c r="Q56" s="87"/>
    </row>
    <row r="57" spans="1:17" ht="24" customHeight="1">
      <c r="A57" s="91">
        <v>8</v>
      </c>
      <c r="B57" s="92"/>
      <c r="C57" s="93" t="s">
        <v>210</v>
      </c>
      <c r="D57" s="93" t="s">
        <v>48</v>
      </c>
      <c r="E57" s="94" t="s">
        <v>207</v>
      </c>
      <c r="F57" s="95" t="s">
        <v>56</v>
      </c>
      <c r="G57" s="96">
        <v>3650000</v>
      </c>
      <c r="H57" s="97">
        <v>3650000</v>
      </c>
      <c r="I57" s="98"/>
      <c r="J57" s="98"/>
      <c r="K57" s="99"/>
      <c r="L57" s="98"/>
      <c r="M57" s="98"/>
      <c r="N57" s="99"/>
      <c r="O57" s="98"/>
      <c r="P57" s="98"/>
      <c r="Q57" s="99"/>
    </row>
    <row r="58" spans="1:17" ht="14.45" customHeight="1">
      <c r="A58" s="75">
        <v>9</v>
      </c>
      <c r="B58" s="76"/>
      <c r="C58" s="77" t="s">
        <v>211</v>
      </c>
      <c r="D58" s="77" t="s">
        <v>48</v>
      </c>
      <c r="E58" s="78" t="s">
        <v>202</v>
      </c>
      <c r="F58" s="79" t="s">
        <v>50</v>
      </c>
      <c r="G58" s="79" t="s">
        <v>50</v>
      </c>
      <c r="H58" s="80" t="s">
        <v>50</v>
      </c>
      <c r="I58" s="79"/>
      <c r="J58" s="79"/>
      <c r="K58" s="80"/>
      <c r="L58" s="79"/>
      <c r="M58" s="79"/>
      <c r="N58" s="80"/>
      <c r="O58" s="79"/>
      <c r="P58" s="79"/>
      <c r="Q58" s="80"/>
    </row>
    <row r="59" spans="1:17" ht="60" customHeight="1">
      <c r="A59" s="81">
        <v>9</v>
      </c>
      <c r="B59" s="82"/>
      <c r="C59" s="83" t="s">
        <v>211</v>
      </c>
      <c r="D59" s="83" t="s">
        <v>48</v>
      </c>
      <c r="E59" s="84" t="s">
        <v>202</v>
      </c>
      <c r="F59" s="85"/>
      <c r="G59" s="86"/>
      <c r="H59" s="87"/>
      <c r="I59" s="86"/>
      <c r="J59" s="86"/>
      <c r="K59" s="87"/>
      <c r="L59" s="86"/>
      <c r="M59" s="86"/>
      <c r="N59" s="87"/>
      <c r="O59" s="86"/>
      <c r="P59" s="86"/>
      <c r="Q59" s="87"/>
    </row>
    <row r="60" spans="1:17" ht="45" customHeight="1">
      <c r="A60" s="81">
        <v>9</v>
      </c>
      <c r="B60" s="82"/>
      <c r="C60" s="83" t="s">
        <v>211</v>
      </c>
      <c r="D60" s="83" t="s">
        <v>48</v>
      </c>
      <c r="E60" s="84" t="s">
        <v>202</v>
      </c>
      <c r="F60" s="85"/>
      <c r="G60" s="85"/>
      <c r="H60" s="88"/>
      <c r="I60" s="86"/>
      <c r="J60" s="86"/>
      <c r="K60" s="87"/>
      <c r="L60" s="86"/>
      <c r="M60" s="86"/>
      <c r="N60" s="87"/>
      <c r="O60" s="86"/>
      <c r="P60" s="86"/>
      <c r="Q60" s="87"/>
    </row>
    <row r="61" spans="1:17" ht="14.45" customHeight="1">
      <c r="A61" s="81">
        <v>9</v>
      </c>
      <c r="B61" s="82"/>
      <c r="C61" s="83" t="s">
        <v>211</v>
      </c>
      <c r="D61" s="83" t="s">
        <v>48</v>
      </c>
      <c r="E61" s="84" t="s">
        <v>202</v>
      </c>
      <c r="F61" s="89">
        <v>2508</v>
      </c>
      <c r="G61" s="89">
        <v>6499</v>
      </c>
      <c r="H61" s="90">
        <v>2656</v>
      </c>
      <c r="I61" s="86"/>
      <c r="J61" s="86"/>
      <c r="K61" s="87"/>
      <c r="L61" s="86"/>
      <c r="M61" s="86"/>
      <c r="N61" s="87"/>
      <c r="O61" s="86"/>
      <c r="P61" s="86"/>
      <c r="Q61" s="87"/>
    </row>
    <row r="62" spans="1:17" ht="45" customHeight="1">
      <c r="A62" s="81">
        <v>9</v>
      </c>
      <c r="B62" s="82"/>
      <c r="C62" s="83" t="s">
        <v>211</v>
      </c>
      <c r="D62" s="83" t="s">
        <v>48</v>
      </c>
      <c r="E62" s="84" t="s">
        <v>202</v>
      </c>
      <c r="F62" s="85"/>
      <c r="G62" s="85"/>
      <c r="H62" s="88"/>
      <c r="I62" s="86"/>
      <c r="J62" s="86"/>
      <c r="K62" s="87"/>
      <c r="L62" s="86"/>
      <c r="M62" s="86"/>
      <c r="N62" s="87"/>
      <c r="O62" s="86"/>
      <c r="P62" s="86"/>
      <c r="Q62" s="87"/>
    </row>
    <row r="63" spans="1:17" ht="14.45" customHeight="1">
      <c r="A63" s="81">
        <v>9</v>
      </c>
      <c r="B63" s="82"/>
      <c r="C63" s="83" t="s">
        <v>211</v>
      </c>
      <c r="D63" s="83" t="s">
        <v>48</v>
      </c>
      <c r="E63" s="84" t="s">
        <v>202</v>
      </c>
      <c r="F63" s="89">
        <v>2104</v>
      </c>
      <c r="G63" s="89">
        <v>1386</v>
      </c>
      <c r="H63" s="90">
        <v>65</v>
      </c>
      <c r="I63" s="86"/>
      <c r="J63" s="86"/>
      <c r="K63" s="87"/>
      <c r="L63" s="86"/>
      <c r="M63" s="86"/>
      <c r="N63" s="87"/>
      <c r="O63" s="86"/>
      <c r="P63" s="86"/>
      <c r="Q63" s="87"/>
    </row>
    <row r="64" spans="1:17" ht="24" customHeight="1">
      <c r="A64" s="91">
        <v>9</v>
      </c>
      <c r="B64" s="92"/>
      <c r="C64" s="93" t="s">
        <v>211</v>
      </c>
      <c r="D64" s="93" t="s">
        <v>48</v>
      </c>
      <c r="E64" s="94" t="s">
        <v>202</v>
      </c>
      <c r="F64" s="95" t="s">
        <v>56</v>
      </c>
      <c r="G64" s="96">
        <v>3540000</v>
      </c>
      <c r="H64" s="97">
        <v>3540000</v>
      </c>
      <c r="I64" s="98"/>
      <c r="J64" s="98"/>
      <c r="K64" s="99"/>
      <c r="L64" s="98"/>
      <c r="M64" s="98"/>
      <c r="N64" s="99"/>
      <c r="O64" s="98"/>
      <c r="P64" s="98"/>
      <c r="Q64" s="99"/>
    </row>
    <row r="65" spans="1:17" ht="14.45" customHeight="1">
      <c r="A65" s="75">
        <v>10</v>
      </c>
      <c r="B65" s="76"/>
      <c r="C65" s="77" t="s">
        <v>212</v>
      </c>
      <c r="D65" s="77" t="s">
        <v>48</v>
      </c>
      <c r="E65" s="78" t="s">
        <v>202</v>
      </c>
      <c r="F65" s="79" t="s">
        <v>50</v>
      </c>
      <c r="G65" s="79" t="s">
        <v>50</v>
      </c>
      <c r="H65" s="80" t="s">
        <v>50</v>
      </c>
      <c r="I65" s="79"/>
      <c r="J65" s="79"/>
      <c r="K65" s="80"/>
      <c r="L65" s="79"/>
      <c r="M65" s="79"/>
      <c r="N65" s="80"/>
      <c r="O65" s="79"/>
      <c r="P65" s="79"/>
      <c r="Q65" s="80"/>
    </row>
    <row r="66" spans="1:17" ht="60" customHeight="1">
      <c r="A66" s="81">
        <v>10</v>
      </c>
      <c r="B66" s="82"/>
      <c r="C66" s="83" t="s">
        <v>212</v>
      </c>
      <c r="D66" s="83" t="s">
        <v>48</v>
      </c>
      <c r="E66" s="84" t="s">
        <v>202</v>
      </c>
      <c r="F66" s="85"/>
      <c r="G66" s="86"/>
      <c r="H66" s="87"/>
      <c r="I66" s="86"/>
      <c r="J66" s="86"/>
      <c r="K66" s="87"/>
      <c r="L66" s="86"/>
      <c r="M66" s="86"/>
      <c r="N66" s="87"/>
      <c r="O66" s="86"/>
      <c r="P66" s="86"/>
      <c r="Q66" s="87"/>
    </row>
    <row r="67" spans="1:17" ht="45" customHeight="1">
      <c r="A67" s="81">
        <v>10</v>
      </c>
      <c r="B67" s="82"/>
      <c r="C67" s="83" t="s">
        <v>212</v>
      </c>
      <c r="D67" s="83" t="s">
        <v>48</v>
      </c>
      <c r="E67" s="84" t="s">
        <v>202</v>
      </c>
      <c r="F67" s="85"/>
      <c r="G67" s="85"/>
      <c r="H67" s="88"/>
      <c r="I67" s="86"/>
      <c r="J67" s="86"/>
      <c r="K67" s="87"/>
      <c r="L67" s="86"/>
      <c r="M67" s="86"/>
      <c r="N67" s="87"/>
      <c r="O67" s="86"/>
      <c r="P67" s="86"/>
      <c r="Q67" s="87"/>
    </row>
    <row r="68" spans="1:17" ht="14.45" customHeight="1">
      <c r="A68" s="81">
        <v>10</v>
      </c>
      <c r="B68" s="82"/>
      <c r="C68" s="83" t="s">
        <v>212</v>
      </c>
      <c r="D68" s="83" t="s">
        <v>48</v>
      </c>
      <c r="E68" s="84" t="s">
        <v>202</v>
      </c>
      <c r="F68" s="89">
        <v>2508</v>
      </c>
      <c r="G68" s="89">
        <v>6499</v>
      </c>
      <c r="H68" s="90">
        <v>2656</v>
      </c>
      <c r="I68" s="86"/>
      <c r="J68" s="86"/>
      <c r="K68" s="87"/>
      <c r="L68" s="86"/>
      <c r="M68" s="86"/>
      <c r="N68" s="87"/>
      <c r="O68" s="86"/>
      <c r="P68" s="86"/>
      <c r="Q68" s="87"/>
    </row>
    <row r="69" spans="1:17" ht="45" customHeight="1">
      <c r="A69" s="81">
        <v>10</v>
      </c>
      <c r="B69" s="82"/>
      <c r="C69" s="83" t="s">
        <v>212</v>
      </c>
      <c r="D69" s="83" t="s">
        <v>48</v>
      </c>
      <c r="E69" s="84" t="s">
        <v>202</v>
      </c>
      <c r="F69" s="85"/>
      <c r="G69" s="85"/>
      <c r="H69" s="88"/>
      <c r="I69" s="86"/>
      <c r="J69" s="86"/>
      <c r="K69" s="87"/>
      <c r="L69" s="86"/>
      <c r="M69" s="86"/>
      <c r="N69" s="87"/>
      <c r="O69" s="86"/>
      <c r="P69" s="86"/>
      <c r="Q69" s="87"/>
    </row>
    <row r="70" spans="1:17" ht="14.45" customHeight="1">
      <c r="A70" s="81">
        <v>10</v>
      </c>
      <c r="B70" s="82"/>
      <c r="C70" s="83" t="s">
        <v>212</v>
      </c>
      <c r="D70" s="83" t="s">
        <v>48</v>
      </c>
      <c r="E70" s="84" t="s">
        <v>202</v>
      </c>
      <c r="F70" s="89">
        <v>2104</v>
      </c>
      <c r="G70" s="89">
        <v>1386</v>
      </c>
      <c r="H70" s="90">
        <v>65</v>
      </c>
      <c r="I70" s="86"/>
      <c r="J70" s="86"/>
      <c r="K70" s="87"/>
      <c r="L70" s="86"/>
      <c r="M70" s="86"/>
      <c r="N70" s="87"/>
      <c r="O70" s="86"/>
      <c r="P70" s="86"/>
      <c r="Q70" s="87"/>
    </row>
    <row r="71" spans="1:17" ht="24" customHeight="1">
      <c r="A71" s="91">
        <v>10</v>
      </c>
      <c r="B71" s="92"/>
      <c r="C71" s="93" t="s">
        <v>212</v>
      </c>
      <c r="D71" s="93" t="s">
        <v>48</v>
      </c>
      <c r="E71" s="94" t="s">
        <v>202</v>
      </c>
      <c r="F71" s="95" t="s">
        <v>56</v>
      </c>
      <c r="G71" s="96">
        <v>3540000</v>
      </c>
      <c r="H71" s="97">
        <v>3540000</v>
      </c>
      <c r="I71" s="98"/>
      <c r="J71" s="98"/>
      <c r="K71" s="99"/>
      <c r="L71" s="98"/>
      <c r="M71" s="98"/>
      <c r="N71" s="99"/>
      <c r="O71" s="98"/>
      <c r="P71" s="98"/>
      <c r="Q71" s="99"/>
    </row>
    <row r="72" spans="1:17" ht="14.45" customHeight="1">
      <c r="A72" s="75">
        <v>11</v>
      </c>
      <c r="B72" s="76"/>
      <c r="C72" s="77" t="s">
        <v>213</v>
      </c>
      <c r="D72" s="77" t="s">
        <v>48</v>
      </c>
      <c r="E72" s="78" t="s">
        <v>202</v>
      </c>
      <c r="F72" s="79" t="s">
        <v>50</v>
      </c>
      <c r="G72" s="79" t="s">
        <v>50</v>
      </c>
      <c r="H72" s="80" t="s">
        <v>50</v>
      </c>
      <c r="I72" s="79"/>
      <c r="J72" s="79"/>
      <c r="K72" s="80"/>
      <c r="L72" s="79"/>
      <c r="M72" s="79"/>
      <c r="N72" s="80"/>
      <c r="O72" s="79"/>
      <c r="P72" s="79"/>
      <c r="Q72" s="80"/>
    </row>
    <row r="73" spans="1:17" ht="60" customHeight="1">
      <c r="A73" s="81">
        <v>11</v>
      </c>
      <c r="B73" s="82"/>
      <c r="C73" s="83" t="s">
        <v>213</v>
      </c>
      <c r="D73" s="83" t="s">
        <v>48</v>
      </c>
      <c r="E73" s="84" t="s">
        <v>202</v>
      </c>
      <c r="F73" s="85"/>
      <c r="G73" s="86"/>
      <c r="H73" s="87"/>
      <c r="I73" s="86"/>
      <c r="J73" s="86"/>
      <c r="K73" s="87"/>
      <c r="L73" s="86"/>
      <c r="M73" s="86"/>
      <c r="N73" s="87"/>
      <c r="O73" s="86"/>
      <c r="P73" s="86"/>
      <c r="Q73" s="87"/>
    </row>
    <row r="74" spans="1:17" ht="45" customHeight="1">
      <c r="A74" s="81">
        <v>11</v>
      </c>
      <c r="B74" s="82"/>
      <c r="C74" s="83" t="s">
        <v>213</v>
      </c>
      <c r="D74" s="83" t="s">
        <v>48</v>
      </c>
      <c r="E74" s="84" t="s">
        <v>202</v>
      </c>
      <c r="F74" s="85"/>
      <c r="G74" s="85"/>
      <c r="H74" s="88"/>
      <c r="I74" s="86"/>
      <c r="J74" s="86"/>
      <c r="K74" s="87"/>
      <c r="L74" s="86"/>
      <c r="M74" s="86"/>
      <c r="N74" s="87"/>
      <c r="O74" s="86"/>
      <c r="P74" s="86"/>
      <c r="Q74" s="87"/>
    </row>
    <row r="75" spans="1:17" ht="14.45" customHeight="1">
      <c r="A75" s="81">
        <v>11</v>
      </c>
      <c r="B75" s="82"/>
      <c r="C75" s="83" t="s">
        <v>213</v>
      </c>
      <c r="D75" s="83" t="s">
        <v>48</v>
      </c>
      <c r="E75" s="84" t="s">
        <v>202</v>
      </c>
      <c r="F75" s="89">
        <v>2508</v>
      </c>
      <c r="G75" s="89">
        <v>6499</v>
      </c>
      <c r="H75" s="90">
        <v>2656</v>
      </c>
      <c r="I75" s="86"/>
      <c r="J75" s="86"/>
      <c r="K75" s="87"/>
      <c r="L75" s="86"/>
      <c r="M75" s="86"/>
      <c r="N75" s="87"/>
      <c r="O75" s="86"/>
      <c r="P75" s="86"/>
      <c r="Q75" s="87"/>
    </row>
    <row r="76" spans="1:17" ht="45" customHeight="1">
      <c r="A76" s="81">
        <v>11</v>
      </c>
      <c r="B76" s="82"/>
      <c r="C76" s="83" t="s">
        <v>213</v>
      </c>
      <c r="D76" s="83" t="s">
        <v>48</v>
      </c>
      <c r="E76" s="84" t="s">
        <v>202</v>
      </c>
      <c r="F76" s="85"/>
      <c r="G76" s="85"/>
      <c r="H76" s="88"/>
      <c r="I76" s="86"/>
      <c r="J76" s="86"/>
      <c r="K76" s="87"/>
      <c r="L76" s="86"/>
      <c r="M76" s="86"/>
      <c r="N76" s="87"/>
      <c r="O76" s="86"/>
      <c r="P76" s="86"/>
      <c r="Q76" s="87"/>
    </row>
    <row r="77" spans="1:17" ht="14.45" customHeight="1">
      <c r="A77" s="81">
        <v>11</v>
      </c>
      <c r="B77" s="82"/>
      <c r="C77" s="83" t="s">
        <v>213</v>
      </c>
      <c r="D77" s="83" t="s">
        <v>48</v>
      </c>
      <c r="E77" s="84" t="s">
        <v>202</v>
      </c>
      <c r="F77" s="89">
        <v>2104</v>
      </c>
      <c r="G77" s="89">
        <v>1386</v>
      </c>
      <c r="H77" s="90">
        <v>65</v>
      </c>
      <c r="I77" s="86"/>
      <c r="J77" s="86"/>
      <c r="K77" s="87"/>
      <c r="L77" s="86"/>
      <c r="M77" s="86"/>
      <c r="N77" s="87"/>
      <c r="O77" s="86"/>
      <c r="P77" s="86"/>
      <c r="Q77" s="87"/>
    </row>
    <row r="78" spans="1:17" ht="24" customHeight="1">
      <c r="A78" s="91">
        <v>11</v>
      </c>
      <c r="B78" s="92"/>
      <c r="C78" s="93" t="s">
        <v>213</v>
      </c>
      <c r="D78" s="93" t="s">
        <v>48</v>
      </c>
      <c r="E78" s="94" t="s">
        <v>202</v>
      </c>
      <c r="F78" s="95" t="s">
        <v>56</v>
      </c>
      <c r="G78" s="96">
        <v>3540000</v>
      </c>
      <c r="H78" s="97">
        <v>3540000</v>
      </c>
      <c r="I78" s="98"/>
      <c r="J78" s="98"/>
      <c r="K78" s="99"/>
      <c r="L78" s="98"/>
      <c r="M78" s="98"/>
      <c r="N78" s="99"/>
      <c r="O78" s="98"/>
      <c r="P78" s="98"/>
      <c r="Q78" s="99"/>
    </row>
    <row r="79" spans="1:17" ht="14.45" customHeight="1">
      <c r="A79" s="75">
        <v>12</v>
      </c>
      <c r="B79" s="76"/>
      <c r="C79" s="77" t="s">
        <v>214</v>
      </c>
      <c r="D79" s="77" t="s">
        <v>48</v>
      </c>
      <c r="E79" s="78" t="s">
        <v>202</v>
      </c>
      <c r="F79" s="79" t="s">
        <v>50</v>
      </c>
      <c r="G79" s="79" t="s">
        <v>50</v>
      </c>
      <c r="H79" s="80" t="s">
        <v>50</v>
      </c>
      <c r="I79" s="79"/>
      <c r="J79" s="79"/>
      <c r="K79" s="80"/>
      <c r="L79" s="79"/>
      <c r="M79" s="79"/>
      <c r="N79" s="80"/>
      <c r="O79" s="79"/>
      <c r="P79" s="79"/>
      <c r="Q79" s="80"/>
    </row>
    <row r="80" spans="1:17" ht="60" customHeight="1">
      <c r="A80" s="81">
        <v>12</v>
      </c>
      <c r="B80" s="82"/>
      <c r="C80" s="83" t="s">
        <v>214</v>
      </c>
      <c r="D80" s="83" t="s">
        <v>48</v>
      </c>
      <c r="E80" s="84" t="s">
        <v>202</v>
      </c>
      <c r="F80" s="85"/>
      <c r="G80" s="86"/>
      <c r="H80" s="87"/>
      <c r="I80" s="86"/>
      <c r="J80" s="86"/>
      <c r="K80" s="87"/>
      <c r="L80" s="86"/>
      <c r="M80" s="86"/>
      <c r="N80" s="87"/>
      <c r="O80" s="86"/>
      <c r="P80" s="86"/>
      <c r="Q80" s="87"/>
    </row>
    <row r="81" spans="1:17" ht="45" customHeight="1">
      <c r="A81" s="81">
        <v>12</v>
      </c>
      <c r="B81" s="82"/>
      <c r="C81" s="83" t="s">
        <v>214</v>
      </c>
      <c r="D81" s="83" t="s">
        <v>48</v>
      </c>
      <c r="E81" s="84" t="s">
        <v>202</v>
      </c>
      <c r="F81" s="85"/>
      <c r="G81" s="85"/>
      <c r="H81" s="88"/>
      <c r="I81" s="86"/>
      <c r="J81" s="86"/>
      <c r="K81" s="87"/>
      <c r="L81" s="86"/>
      <c r="M81" s="86"/>
      <c r="N81" s="87"/>
      <c r="O81" s="86"/>
      <c r="P81" s="86"/>
      <c r="Q81" s="87"/>
    </row>
    <row r="82" spans="1:17" ht="14.45" customHeight="1">
      <c r="A82" s="81">
        <v>12</v>
      </c>
      <c r="B82" s="82"/>
      <c r="C82" s="83" t="s">
        <v>214</v>
      </c>
      <c r="D82" s="83" t="s">
        <v>48</v>
      </c>
      <c r="E82" s="84" t="s">
        <v>202</v>
      </c>
      <c r="F82" s="89">
        <v>2508</v>
      </c>
      <c r="G82" s="89">
        <v>6499</v>
      </c>
      <c r="H82" s="90">
        <v>2656</v>
      </c>
      <c r="I82" s="86"/>
      <c r="J82" s="86"/>
      <c r="K82" s="87"/>
      <c r="L82" s="86"/>
      <c r="M82" s="86"/>
      <c r="N82" s="87"/>
      <c r="O82" s="86"/>
      <c r="P82" s="86"/>
      <c r="Q82" s="87"/>
    </row>
    <row r="83" spans="1:17" ht="45" customHeight="1">
      <c r="A83" s="81">
        <v>12</v>
      </c>
      <c r="B83" s="82"/>
      <c r="C83" s="83" t="s">
        <v>214</v>
      </c>
      <c r="D83" s="83" t="s">
        <v>48</v>
      </c>
      <c r="E83" s="84" t="s">
        <v>202</v>
      </c>
      <c r="F83" s="85"/>
      <c r="G83" s="85"/>
      <c r="H83" s="88"/>
      <c r="I83" s="86"/>
      <c r="J83" s="86"/>
      <c r="K83" s="87"/>
      <c r="L83" s="86"/>
      <c r="M83" s="86"/>
      <c r="N83" s="87"/>
      <c r="O83" s="86"/>
      <c r="P83" s="86"/>
      <c r="Q83" s="87"/>
    </row>
    <row r="84" spans="1:17" ht="14.45" customHeight="1">
      <c r="A84" s="81">
        <v>12</v>
      </c>
      <c r="B84" s="82"/>
      <c r="C84" s="83" t="s">
        <v>214</v>
      </c>
      <c r="D84" s="83" t="s">
        <v>48</v>
      </c>
      <c r="E84" s="84" t="s">
        <v>202</v>
      </c>
      <c r="F84" s="89">
        <v>2104</v>
      </c>
      <c r="G84" s="89">
        <v>1386</v>
      </c>
      <c r="H84" s="90">
        <v>65</v>
      </c>
      <c r="I84" s="86"/>
      <c r="J84" s="86"/>
      <c r="K84" s="87"/>
      <c r="L84" s="86"/>
      <c r="M84" s="86"/>
      <c r="N84" s="87"/>
      <c r="O84" s="86"/>
      <c r="P84" s="86"/>
      <c r="Q84" s="87"/>
    </row>
    <row r="85" spans="1:17" ht="24" customHeight="1">
      <c r="A85" s="91">
        <v>12</v>
      </c>
      <c r="B85" s="92"/>
      <c r="C85" s="93" t="s">
        <v>214</v>
      </c>
      <c r="D85" s="93" t="s">
        <v>48</v>
      </c>
      <c r="E85" s="94" t="s">
        <v>202</v>
      </c>
      <c r="F85" s="95" t="s">
        <v>56</v>
      </c>
      <c r="G85" s="96">
        <v>3540000</v>
      </c>
      <c r="H85" s="97">
        <v>3540000</v>
      </c>
      <c r="I85" s="98"/>
      <c r="J85" s="98"/>
      <c r="K85" s="99"/>
      <c r="L85" s="98"/>
      <c r="M85" s="98"/>
      <c r="N85" s="99"/>
      <c r="O85" s="98"/>
      <c r="P85" s="98"/>
      <c r="Q85" s="99"/>
    </row>
    <row r="86" spans="1:17" ht="14.45" customHeight="1">
      <c r="A86" s="75">
        <v>13</v>
      </c>
      <c r="B86" s="76"/>
      <c r="C86" s="77" t="s">
        <v>215</v>
      </c>
      <c r="D86" s="77" t="s">
        <v>48</v>
      </c>
      <c r="E86" s="78" t="s">
        <v>216</v>
      </c>
      <c r="F86" s="79" t="s">
        <v>50</v>
      </c>
      <c r="G86" s="79" t="s">
        <v>50</v>
      </c>
      <c r="H86" s="80" t="s">
        <v>50</v>
      </c>
      <c r="I86" s="79"/>
      <c r="J86" s="79"/>
      <c r="K86" s="80"/>
      <c r="L86" s="79"/>
      <c r="M86" s="79"/>
      <c r="N86" s="80"/>
      <c r="O86" s="79"/>
      <c r="P86" s="79"/>
      <c r="Q86" s="80"/>
    </row>
    <row r="87" spans="1:17" ht="60" customHeight="1">
      <c r="A87" s="81">
        <v>13</v>
      </c>
      <c r="B87" s="82"/>
      <c r="C87" s="83" t="s">
        <v>215</v>
      </c>
      <c r="D87" s="83" t="s">
        <v>48</v>
      </c>
      <c r="E87" s="84" t="s">
        <v>216</v>
      </c>
      <c r="F87" s="85"/>
      <c r="G87" s="86"/>
      <c r="H87" s="87"/>
      <c r="I87" s="86"/>
      <c r="J87" s="86"/>
      <c r="K87" s="87"/>
      <c r="L87" s="86"/>
      <c r="M87" s="86"/>
      <c r="N87" s="87"/>
      <c r="O87" s="86"/>
      <c r="P87" s="86"/>
      <c r="Q87" s="87"/>
    </row>
    <row r="88" spans="1:17" ht="45" customHeight="1">
      <c r="A88" s="81">
        <v>13</v>
      </c>
      <c r="B88" s="82"/>
      <c r="C88" s="83" t="s">
        <v>215</v>
      </c>
      <c r="D88" s="83" t="s">
        <v>48</v>
      </c>
      <c r="E88" s="84" t="s">
        <v>216</v>
      </c>
      <c r="F88" s="85"/>
      <c r="G88" s="85"/>
      <c r="H88" s="88"/>
      <c r="I88" s="86"/>
      <c r="J88" s="86"/>
      <c r="K88" s="87"/>
      <c r="L88" s="86"/>
      <c r="M88" s="86"/>
      <c r="N88" s="87"/>
      <c r="O88" s="86"/>
      <c r="P88" s="86"/>
      <c r="Q88" s="87"/>
    </row>
    <row r="89" spans="1:17" ht="14.45" customHeight="1">
      <c r="A89" s="81">
        <v>13</v>
      </c>
      <c r="B89" s="82"/>
      <c r="C89" s="83" t="s">
        <v>215</v>
      </c>
      <c r="D89" s="83" t="s">
        <v>48</v>
      </c>
      <c r="E89" s="84" t="s">
        <v>216</v>
      </c>
      <c r="F89" s="89">
        <v>3260</v>
      </c>
      <c r="G89" s="89">
        <v>3250</v>
      </c>
      <c r="H89" s="90">
        <v>3453</v>
      </c>
      <c r="I89" s="86"/>
      <c r="J89" s="86"/>
      <c r="K89" s="87"/>
      <c r="L89" s="86"/>
      <c r="M89" s="86"/>
      <c r="N89" s="87"/>
      <c r="O89" s="86"/>
      <c r="P89" s="86"/>
      <c r="Q89" s="87"/>
    </row>
    <row r="90" spans="1:17" ht="45" customHeight="1">
      <c r="A90" s="81">
        <v>13</v>
      </c>
      <c r="B90" s="82"/>
      <c r="C90" s="83" t="s">
        <v>215</v>
      </c>
      <c r="D90" s="83" t="s">
        <v>48</v>
      </c>
      <c r="E90" s="84" t="s">
        <v>216</v>
      </c>
      <c r="F90" s="85"/>
      <c r="G90" s="85"/>
      <c r="H90" s="88"/>
      <c r="I90" s="86"/>
      <c r="J90" s="86"/>
      <c r="K90" s="87"/>
      <c r="L90" s="86"/>
      <c r="M90" s="86"/>
      <c r="N90" s="87"/>
      <c r="O90" s="86"/>
      <c r="P90" s="86"/>
      <c r="Q90" s="87"/>
    </row>
    <row r="91" spans="1:17" ht="14.45" customHeight="1">
      <c r="A91" s="81">
        <v>13</v>
      </c>
      <c r="B91" s="82"/>
      <c r="C91" s="83" t="s">
        <v>215</v>
      </c>
      <c r="D91" s="83" t="s">
        <v>48</v>
      </c>
      <c r="E91" s="84" t="s">
        <v>216</v>
      </c>
      <c r="F91" s="89">
        <v>3997</v>
      </c>
      <c r="G91" s="89">
        <v>65</v>
      </c>
      <c r="H91" s="88"/>
      <c r="I91" s="86"/>
      <c r="J91" s="86"/>
      <c r="K91" s="87"/>
      <c r="L91" s="86"/>
      <c r="M91" s="86"/>
      <c r="N91" s="87"/>
      <c r="O91" s="86"/>
      <c r="P91" s="86"/>
      <c r="Q91" s="87"/>
    </row>
    <row r="92" spans="1:17" ht="24" customHeight="1">
      <c r="A92" s="91">
        <v>13</v>
      </c>
      <c r="B92" s="92"/>
      <c r="C92" s="93" t="s">
        <v>215</v>
      </c>
      <c r="D92" s="93" t="s">
        <v>48</v>
      </c>
      <c r="E92" s="94" t="s">
        <v>216</v>
      </c>
      <c r="F92" s="95" t="s">
        <v>56</v>
      </c>
      <c r="G92" s="96">
        <v>3530000</v>
      </c>
      <c r="H92" s="97">
        <v>3530000</v>
      </c>
      <c r="I92" s="98"/>
      <c r="J92" s="98"/>
      <c r="K92" s="99"/>
      <c r="L92" s="98"/>
      <c r="M92" s="98"/>
      <c r="N92" s="99"/>
      <c r="O92" s="98"/>
      <c r="P92" s="98"/>
      <c r="Q92" s="99"/>
    </row>
    <row r="93" spans="1:17" ht="14.45" customHeight="1">
      <c r="A93" s="75">
        <v>14</v>
      </c>
      <c r="B93" s="76"/>
      <c r="C93" s="77" t="s">
        <v>217</v>
      </c>
      <c r="D93" s="77" t="s">
        <v>48</v>
      </c>
      <c r="E93" s="78" t="s">
        <v>216</v>
      </c>
      <c r="F93" s="79" t="s">
        <v>50</v>
      </c>
      <c r="G93" s="79" t="s">
        <v>50</v>
      </c>
      <c r="H93" s="80" t="s">
        <v>50</v>
      </c>
      <c r="I93" s="79"/>
      <c r="J93" s="79"/>
      <c r="K93" s="80"/>
      <c r="L93" s="79"/>
      <c r="M93" s="79"/>
      <c r="N93" s="80"/>
      <c r="O93" s="79"/>
      <c r="P93" s="79"/>
      <c r="Q93" s="80"/>
    </row>
    <row r="94" spans="1:17" ht="60" customHeight="1">
      <c r="A94" s="81">
        <v>14</v>
      </c>
      <c r="B94" s="82"/>
      <c r="C94" s="83" t="s">
        <v>217</v>
      </c>
      <c r="D94" s="83" t="s">
        <v>48</v>
      </c>
      <c r="E94" s="84" t="s">
        <v>216</v>
      </c>
      <c r="F94" s="85"/>
      <c r="G94" s="86"/>
      <c r="H94" s="87"/>
      <c r="I94" s="86"/>
      <c r="J94" s="86"/>
      <c r="K94" s="87"/>
      <c r="L94" s="86"/>
      <c r="M94" s="86"/>
      <c r="N94" s="87"/>
      <c r="O94" s="86"/>
      <c r="P94" s="86"/>
      <c r="Q94" s="87"/>
    </row>
    <row r="95" spans="1:17" ht="45" customHeight="1">
      <c r="A95" s="81">
        <v>14</v>
      </c>
      <c r="B95" s="82"/>
      <c r="C95" s="83" t="s">
        <v>217</v>
      </c>
      <c r="D95" s="83" t="s">
        <v>48</v>
      </c>
      <c r="E95" s="84" t="s">
        <v>216</v>
      </c>
      <c r="F95" s="85"/>
      <c r="G95" s="85"/>
      <c r="H95" s="88"/>
      <c r="I95" s="86"/>
      <c r="J95" s="86"/>
      <c r="K95" s="87"/>
      <c r="L95" s="86"/>
      <c r="M95" s="86"/>
      <c r="N95" s="87"/>
      <c r="O95" s="86"/>
      <c r="P95" s="86"/>
      <c r="Q95" s="87"/>
    </row>
    <row r="96" spans="1:17" ht="14.45" customHeight="1">
      <c r="A96" s="81">
        <v>14</v>
      </c>
      <c r="B96" s="82"/>
      <c r="C96" s="83" t="s">
        <v>217</v>
      </c>
      <c r="D96" s="83" t="s">
        <v>48</v>
      </c>
      <c r="E96" s="84" t="s">
        <v>216</v>
      </c>
      <c r="F96" s="89">
        <v>3260</v>
      </c>
      <c r="G96" s="89">
        <v>3250</v>
      </c>
      <c r="H96" s="90">
        <v>3453</v>
      </c>
      <c r="I96" s="86"/>
      <c r="J96" s="86"/>
      <c r="K96" s="87"/>
      <c r="L96" s="86"/>
      <c r="M96" s="86"/>
      <c r="N96" s="87"/>
      <c r="O96" s="86"/>
      <c r="P96" s="86"/>
      <c r="Q96" s="87"/>
    </row>
    <row r="97" spans="1:17" ht="45" customHeight="1">
      <c r="A97" s="81">
        <v>14</v>
      </c>
      <c r="B97" s="82"/>
      <c r="C97" s="83" t="s">
        <v>217</v>
      </c>
      <c r="D97" s="83" t="s">
        <v>48</v>
      </c>
      <c r="E97" s="84" t="s">
        <v>216</v>
      </c>
      <c r="F97" s="85"/>
      <c r="G97" s="85"/>
      <c r="H97" s="88"/>
      <c r="I97" s="86"/>
      <c r="J97" s="86"/>
      <c r="K97" s="87"/>
      <c r="L97" s="86"/>
      <c r="M97" s="86"/>
      <c r="N97" s="87"/>
      <c r="O97" s="86"/>
      <c r="P97" s="86"/>
      <c r="Q97" s="87"/>
    </row>
    <row r="98" spans="1:17" ht="14.45" customHeight="1">
      <c r="A98" s="81">
        <v>14</v>
      </c>
      <c r="B98" s="82"/>
      <c r="C98" s="83" t="s">
        <v>217</v>
      </c>
      <c r="D98" s="83" t="s">
        <v>48</v>
      </c>
      <c r="E98" s="84" t="s">
        <v>216</v>
      </c>
      <c r="F98" s="89">
        <v>3997</v>
      </c>
      <c r="G98" s="89">
        <v>65</v>
      </c>
      <c r="H98" s="88"/>
      <c r="I98" s="86"/>
      <c r="J98" s="86"/>
      <c r="K98" s="87"/>
      <c r="L98" s="86"/>
      <c r="M98" s="86"/>
      <c r="N98" s="87"/>
      <c r="O98" s="86"/>
      <c r="P98" s="86"/>
      <c r="Q98" s="87"/>
    </row>
    <row r="99" spans="1:17" ht="24" customHeight="1">
      <c r="A99" s="91">
        <v>14</v>
      </c>
      <c r="B99" s="92"/>
      <c r="C99" s="93" t="s">
        <v>217</v>
      </c>
      <c r="D99" s="93" t="s">
        <v>48</v>
      </c>
      <c r="E99" s="94" t="s">
        <v>216</v>
      </c>
      <c r="F99" s="95" t="s">
        <v>56</v>
      </c>
      <c r="G99" s="96">
        <v>3530000</v>
      </c>
      <c r="H99" s="97">
        <v>3530000</v>
      </c>
      <c r="I99" s="98"/>
      <c r="J99" s="98"/>
      <c r="K99" s="99"/>
      <c r="L99" s="98"/>
      <c r="M99" s="98"/>
      <c r="N99" s="99"/>
      <c r="O99" s="98"/>
      <c r="P99" s="98"/>
      <c r="Q99" s="99"/>
    </row>
    <row r="100" spans="1:17" ht="14.45" customHeight="1">
      <c r="A100" s="75">
        <v>15</v>
      </c>
      <c r="B100" s="76"/>
      <c r="C100" s="77" t="s">
        <v>218</v>
      </c>
      <c r="D100" s="77" t="s">
        <v>48</v>
      </c>
      <c r="E100" s="78" t="s">
        <v>216</v>
      </c>
      <c r="F100" s="79" t="s">
        <v>50</v>
      </c>
      <c r="G100" s="79" t="s">
        <v>50</v>
      </c>
      <c r="H100" s="80" t="s">
        <v>50</v>
      </c>
      <c r="I100" s="79"/>
      <c r="J100" s="79"/>
      <c r="K100" s="80"/>
      <c r="L100" s="79"/>
      <c r="M100" s="79"/>
      <c r="N100" s="80"/>
      <c r="O100" s="79"/>
      <c r="P100" s="79"/>
      <c r="Q100" s="80"/>
    </row>
    <row r="101" spans="1:17" ht="60" customHeight="1">
      <c r="A101" s="81">
        <v>15</v>
      </c>
      <c r="B101" s="82"/>
      <c r="C101" s="83" t="s">
        <v>218</v>
      </c>
      <c r="D101" s="83" t="s">
        <v>48</v>
      </c>
      <c r="E101" s="84" t="s">
        <v>216</v>
      </c>
      <c r="F101" s="85"/>
      <c r="G101" s="86"/>
      <c r="H101" s="87"/>
      <c r="I101" s="86"/>
      <c r="J101" s="86"/>
      <c r="K101" s="87"/>
      <c r="L101" s="86"/>
      <c r="M101" s="86"/>
      <c r="N101" s="87"/>
      <c r="O101" s="86"/>
      <c r="P101" s="86"/>
      <c r="Q101" s="87"/>
    </row>
    <row r="102" spans="1:17" ht="45" customHeight="1">
      <c r="A102" s="81">
        <v>15</v>
      </c>
      <c r="B102" s="82"/>
      <c r="C102" s="83" t="s">
        <v>218</v>
      </c>
      <c r="D102" s="83" t="s">
        <v>48</v>
      </c>
      <c r="E102" s="84" t="s">
        <v>216</v>
      </c>
      <c r="F102" s="85"/>
      <c r="G102" s="85"/>
      <c r="H102" s="88"/>
      <c r="I102" s="86"/>
      <c r="J102" s="86"/>
      <c r="K102" s="87"/>
      <c r="L102" s="86"/>
      <c r="M102" s="86"/>
      <c r="N102" s="87"/>
      <c r="O102" s="86"/>
      <c r="P102" s="86"/>
      <c r="Q102" s="87"/>
    </row>
    <row r="103" spans="1:17" ht="14.45" customHeight="1">
      <c r="A103" s="81">
        <v>15</v>
      </c>
      <c r="B103" s="82"/>
      <c r="C103" s="83" t="s">
        <v>218</v>
      </c>
      <c r="D103" s="83" t="s">
        <v>48</v>
      </c>
      <c r="E103" s="84" t="s">
        <v>216</v>
      </c>
      <c r="F103" s="89">
        <v>3260</v>
      </c>
      <c r="G103" s="89">
        <v>3250</v>
      </c>
      <c r="H103" s="90">
        <v>3453</v>
      </c>
      <c r="I103" s="86"/>
      <c r="J103" s="86"/>
      <c r="K103" s="87"/>
      <c r="L103" s="86"/>
      <c r="M103" s="86"/>
      <c r="N103" s="87"/>
      <c r="O103" s="86"/>
      <c r="P103" s="86"/>
      <c r="Q103" s="87"/>
    </row>
    <row r="104" spans="1:17" ht="45" customHeight="1">
      <c r="A104" s="81">
        <v>15</v>
      </c>
      <c r="B104" s="82"/>
      <c r="C104" s="83" t="s">
        <v>218</v>
      </c>
      <c r="D104" s="83" t="s">
        <v>48</v>
      </c>
      <c r="E104" s="84" t="s">
        <v>216</v>
      </c>
      <c r="F104" s="85"/>
      <c r="G104" s="85"/>
      <c r="H104" s="88"/>
      <c r="I104" s="86"/>
      <c r="J104" s="86"/>
      <c r="K104" s="87"/>
      <c r="L104" s="86"/>
      <c r="M104" s="86"/>
      <c r="N104" s="87"/>
      <c r="O104" s="86"/>
      <c r="P104" s="86"/>
      <c r="Q104" s="87"/>
    </row>
    <row r="105" spans="1:17" ht="14.45" customHeight="1">
      <c r="A105" s="81">
        <v>15</v>
      </c>
      <c r="B105" s="82"/>
      <c r="C105" s="83" t="s">
        <v>218</v>
      </c>
      <c r="D105" s="83" t="s">
        <v>48</v>
      </c>
      <c r="E105" s="84" t="s">
        <v>216</v>
      </c>
      <c r="F105" s="89">
        <v>3997</v>
      </c>
      <c r="G105" s="89">
        <v>65</v>
      </c>
      <c r="H105" s="88"/>
      <c r="I105" s="86"/>
      <c r="J105" s="86"/>
      <c r="K105" s="87"/>
      <c r="L105" s="86"/>
      <c r="M105" s="86"/>
      <c r="N105" s="87"/>
      <c r="O105" s="86"/>
      <c r="P105" s="86"/>
      <c r="Q105" s="87"/>
    </row>
    <row r="106" spans="1:17" ht="24" customHeight="1">
      <c r="A106" s="91">
        <v>15</v>
      </c>
      <c r="B106" s="92"/>
      <c r="C106" s="93" t="s">
        <v>218</v>
      </c>
      <c r="D106" s="93" t="s">
        <v>48</v>
      </c>
      <c r="E106" s="94" t="s">
        <v>216</v>
      </c>
      <c r="F106" s="95" t="s">
        <v>56</v>
      </c>
      <c r="G106" s="96">
        <v>3530000</v>
      </c>
      <c r="H106" s="97">
        <v>3530000</v>
      </c>
      <c r="I106" s="98"/>
      <c r="J106" s="98"/>
      <c r="K106" s="99"/>
      <c r="L106" s="98"/>
      <c r="M106" s="98"/>
      <c r="N106" s="99"/>
      <c r="O106" s="98"/>
      <c r="P106" s="98"/>
      <c r="Q106" s="99"/>
    </row>
    <row r="107" spans="1:17" ht="14.45" customHeight="1">
      <c r="A107" s="75">
        <v>16</v>
      </c>
      <c r="B107" s="76"/>
      <c r="C107" s="77" t="s">
        <v>219</v>
      </c>
      <c r="D107" s="77" t="s">
        <v>48</v>
      </c>
      <c r="E107" s="78" t="s">
        <v>216</v>
      </c>
      <c r="F107" s="79" t="s">
        <v>50</v>
      </c>
      <c r="G107" s="79" t="s">
        <v>50</v>
      </c>
      <c r="H107" s="80" t="s">
        <v>50</v>
      </c>
      <c r="I107" s="79"/>
      <c r="J107" s="79"/>
      <c r="K107" s="80"/>
      <c r="L107" s="79"/>
      <c r="M107" s="79"/>
      <c r="N107" s="80"/>
      <c r="O107" s="79"/>
      <c r="P107" s="79"/>
      <c r="Q107" s="80"/>
    </row>
    <row r="108" spans="1:17" ht="60" customHeight="1">
      <c r="A108" s="81">
        <v>16</v>
      </c>
      <c r="B108" s="82"/>
      <c r="C108" s="83" t="s">
        <v>219</v>
      </c>
      <c r="D108" s="83" t="s">
        <v>48</v>
      </c>
      <c r="E108" s="84" t="s">
        <v>216</v>
      </c>
      <c r="F108" s="85"/>
      <c r="G108" s="86"/>
      <c r="H108" s="87"/>
      <c r="I108" s="86"/>
      <c r="J108" s="86"/>
      <c r="K108" s="87"/>
      <c r="L108" s="86"/>
      <c r="M108" s="86"/>
      <c r="N108" s="87"/>
      <c r="O108" s="86"/>
      <c r="P108" s="86"/>
      <c r="Q108" s="87"/>
    </row>
    <row r="109" spans="1:17" ht="45" customHeight="1">
      <c r="A109" s="81">
        <v>16</v>
      </c>
      <c r="B109" s="82"/>
      <c r="C109" s="83" t="s">
        <v>219</v>
      </c>
      <c r="D109" s="83" t="s">
        <v>48</v>
      </c>
      <c r="E109" s="84" t="s">
        <v>216</v>
      </c>
      <c r="F109" s="85"/>
      <c r="G109" s="85"/>
      <c r="H109" s="88"/>
      <c r="I109" s="86"/>
      <c r="J109" s="86"/>
      <c r="K109" s="87"/>
      <c r="L109" s="86"/>
      <c r="M109" s="86"/>
      <c r="N109" s="87"/>
      <c r="O109" s="86"/>
      <c r="P109" s="86"/>
      <c r="Q109" s="87"/>
    </row>
    <row r="110" spans="1:17" ht="14.45" customHeight="1">
      <c r="A110" s="81">
        <v>16</v>
      </c>
      <c r="B110" s="82"/>
      <c r="C110" s="83" t="s">
        <v>219</v>
      </c>
      <c r="D110" s="83" t="s">
        <v>48</v>
      </c>
      <c r="E110" s="84" t="s">
        <v>216</v>
      </c>
      <c r="F110" s="89">
        <v>3260</v>
      </c>
      <c r="G110" s="89">
        <v>3250</v>
      </c>
      <c r="H110" s="90">
        <v>3453</v>
      </c>
      <c r="I110" s="86"/>
      <c r="J110" s="86"/>
      <c r="K110" s="87"/>
      <c r="L110" s="86"/>
      <c r="M110" s="86"/>
      <c r="N110" s="87"/>
      <c r="O110" s="86"/>
      <c r="P110" s="86"/>
      <c r="Q110" s="87"/>
    </row>
    <row r="111" spans="1:17" ht="45" customHeight="1">
      <c r="A111" s="81">
        <v>16</v>
      </c>
      <c r="B111" s="82"/>
      <c r="C111" s="83" t="s">
        <v>219</v>
      </c>
      <c r="D111" s="83" t="s">
        <v>48</v>
      </c>
      <c r="E111" s="84" t="s">
        <v>216</v>
      </c>
      <c r="F111" s="85"/>
      <c r="G111" s="85"/>
      <c r="H111" s="88"/>
      <c r="I111" s="86"/>
      <c r="J111" s="86"/>
      <c r="K111" s="87"/>
      <c r="L111" s="86"/>
      <c r="M111" s="86"/>
      <c r="N111" s="87"/>
      <c r="O111" s="86"/>
      <c r="P111" s="86"/>
      <c r="Q111" s="87"/>
    </row>
    <row r="112" spans="1:17" ht="14.45" customHeight="1">
      <c r="A112" s="81">
        <v>16</v>
      </c>
      <c r="B112" s="82"/>
      <c r="C112" s="83" t="s">
        <v>219</v>
      </c>
      <c r="D112" s="83" t="s">
        <v>48</v>
      </c>
      <c r="E112" s="84" t="s">
        <v>216</v>
      </c>
      <c r="F112" s="89">
        <v>3997</v>
      </c>
      <c r="G112" s="89">
        <v>65</v>
      </c>
      <c r="H112" s="88"/>
      <c r="I112" s="86"/>
      <c r="J112" s="86"/>
      <c r="K112" s="87"/>
      <c r="L112" s="86"/>
      <c r="M112" s="86"/>
      <c r="N112" s="87"/>
      <c r="O112" s="86"/>
      <c r="P112" s="86"/>
      <c r="Q112" s="87"/>
    </row>
    <row r="113" spans="1:17" ht="24" customHeight="1">
      <c r="A113" s="91">
        <v>16</v>
      </c>
      <c r="B113" s="92"/>
      <c r="C113" s="93" t="s">
        <v>219</v>
      </c>
      <c r="D113" s="93" t="s">
        <v>48</v>
      </c>
      <c r="E113" s="94" t="s">
        <v>216</v>
      </c>
      <c r="F113" s="95" t="s">
        <v>56</v>
      </c>
      <c r="G113" s="96">
        <v>3530000</v>
      </c>
      <c r="H113" s="97">
        <v>3530000</v>
      </c>
      <c r="I113" s="98"/>
      <c r="J113" s="98"/>
      <c r="K113" s="99"/>
      <c r="L113" s="98"/>
      <c r="M113" s="98"/>
      <c r="N113" s="99"/>
      <c r="O113" s="98"/>
      <c r="P113" s="98"/>
      <c r="Q113" s="99"/>
    </row>
    <row r="114" spans="1:17" ht="14.45" customHeight="1">
      <c r="A114" s="75">
        <v>17</v>
      </c>
      <c r="B114" s="76"/>
      <c r="C114" s="77" t="s">
        <v>220</v>
      </c>
      <c r="D114" s="77" t="s">
        <v>48</v>
      </c>
      <c r="E114" s="78" t="s">
        <v>202</v>
      </c>
      <c r="F114" s="79" t="s">
        <v>50</v>
      </c>
      <c r="G114" s="79" t="s">
        <v>50</v>
      </c>
      <c r="H114" s="80" t="s">
        <v>50</v>
      </c>
      <c r="I114" s="79"/>
      <c r="J114" s="79"/>
      <c r="K114" s="80"/>
      <c r="L114" s="79"/>
      <c r="M114" s="79"/>
      <c r="N114" s="80"/>
      <c r="O114" s="79"/>
      <c r="P114" s="79"/>
      <c r="Q114" s="80"/>
    </row>
    <row r="115" spans="1:17" ht="60" customHeight="1">
      <c r="A115" s="81">
        <v>17</v>
      </c>
      <c r="B115" s="82"/>
      <c r="C115" s="83" t="s">
        <v>220</v>
      </c>
      <c r="D115" s="83" t="s">
        <v>48</v>
      </c>
      <c r="E115" s="84" t="s">
        <v>202</v>
      </c>
      <c r="F115" s="85"/>
      <c r="G115" s="86" t="s">
        <v>221</v>
      </c>
      <c r="H115" s="87" t="s">
        <v>221</v>
      </c>
      <c r="I115" s="86"/>
      <c r="J115" s="86"/>
      <c r="K115" s="87"/>
      <c r="L115" s="86"/>
      <c r="M115" s="86"/>
      <c r="N115" s="87"/>
      <c r="O115" s="86"/>
      <c r="P115" s="86"/>
      <c r="Q115" s="87"/>
    </row>
    <row r="116" spans="1:17" ht="45" customHeight="1">
      <c r="A116" s="81">
        <v>17</v>
      </c>
      <c r="B116" s="82"/>
      <c r="C116" s="83" t="s">
        <v>220</v>
      </c>
      <c r="D116" s="83" t="s">
        <v>48</v>
      </c>
      <c r="E116" s="84" t="s">
        <v>202</v>
      </c>
      <c r="F116" s="85"/>
      <c r="G116" s="85"/>
      <c r="H116" s="88"/>
      <c r="I116" s="86"/>
      <c r="J116" s="86"/>
      <c r="K116" s="87"/>
      <c r="L116" s="86"/>
      <c r="M116" s="86"/>
      <c r="N116" s="87"/>
      <c r="O116" s="86"/>
      <c r="P116" s="86"/>
      <c r="Q116" s="87"/>
    </row>
    <row r="117" spans="1:17" ht="14.45" customHeight="1">
      <c r="A117" s="81">
        <v>17</v>
      </c>
      <c r="B117" s="82"/>
      <c r="C117" s="83" t="s">
        <v>220</v>
      </c>
      <c r="D117" s="83" t="s">
        <v>48</v>
      </c>
      <c r="E117" s="84" t="s">
        <v>202</v>
      </c>
      <c r="F117" s="89">
        <v>1186</v>
      </c>
      <c r="G117" s="89">
        <v>4610</v>
      </c>
      <c r="H117" s="90">
        <v>1346</v>
      </c>
      <c r="I117" s="86"/>
      <c r="J117" s="86"/>
      <c r="K117" s="87"/>
      <c r="L117" s="86"/>
      <c r="M117" s="86"/>
      <c r="N117" s="87"/>
      <c r="O117" s="86"/>
      <c r="P117" s="86"/>
      <c r="Q117" s="87"/>
    </row>
    <row r="118" spans="1:17" ht="45" customHeight="1">
      <c r="A118" s="81">
        <v>17</v>
      </c>
      <c r="B118" s="82"/>
      <c r="C118" s="83" t="s">
        <v>220</v>
      </c>
      <c r="D118" s="83" t="s">
        <v>48</v>
      </c>
      <c r="E118" s="84" t="s">
        <v>202</v>
      </c>
      <c r="F118" s="85"/>
      <c r="G118" s="85"/>
      <c r="H118" s="88"/>
      <c r="I118" s="86"/>
      <c r="J118" s="86"/>
      <c r="K118" s="87"/>
      <c r="L118" s="86"/>
      <c r="M118" s="86"/>
      <c r="N118" s="87"/>
      <c r="O118" s="86"/>
      <c r="P118" s="86"/>
      <c r="Q118" s="87"/>
    </row>
    <row r="119" spans="1:17" ht="14.45" customHeight="1">
      <c r="A119" s="81">
        <v>17</v>
      </c>
      <c r="B119" s="82"/>
      <c r="C119" s="83" t="s">
        <v>220</v>
      </c>
      <c r="D119" s="83" t="s">
        <v>48</v>
      </c>
      <c r="E119" s="84" t="s">
        <v>202</v>
      </c>
      <c r="F119" s="89">
        <v>1066</v>
      </c>
      <c r="G119" s="89">
        <v>1638</v>
      </c>
      <c r="H119" s="90">
        <v>55</v>
      </c>
      <c r="I119" s="86"/>
      <c r="J119" s="86"/>
      <c r="K119" s="87"/>
      <c r="L119" s="86"/>
      <c r="M119" s="86"/>
      <c r="N119" s="87"/>
      <c r="O119" s="86"/>
      <c r="P119" s="86"/>
      <c r="Q119" s="87"/>
    </row>
    <row r="120" spans="1:17" ht="24" customHeight="1">
      <c r="A120" s="91">
        <v>17</v>
      </c>
      <c r="B120" s="92"/>
      <c r="C120" s="93" t="s">
        <v>220</v>
      </c>
      <c r="D120" s="93" t="s">
        <v>48</v>
      </c>
      <c r="E120" s="94" t="s">
        <v>202</v>
      </c>
      <c r="F120" s="95" t="s">
        <v>56</v>
      </c>
      <c r="G120" s="96">
        <v>2580000</v>
      </c>
      <c r="H120" s="97">
        <v>2580000</v>
      </c>
      <c r="I120" s="98"/>
      <c r="J120" s="98"/>
      <c r="K120" s="99"/>
      <c r="L120" s="98"/>
      <c r="M120" s="98"/>
      <c r="N120" s="99"/>
      <c r="O120" s="98"/>
      <c r="P120" s="98"/>
      <c r="Q120" s="99"/>
    </row>
    <row r="121" spans="1:17" ht="14.45" customHeight="1">
      <c r="A121" s="75">
        <v>18</v>
      </c>
      <c r="B121" s="76"/>
      <c r="C121" s="77" t="s">
        <v>222</v>
      </c>
      <c r="D121" s="77" t="s">
        <v>48</v>
      </c>
      <c r="E121" s="78" t="s">
        <v>202</v>
      </c>
      <c r="F121" s="79" t="s">
        <v>50</v>
      </c>
      <c r="G121" s="79" t="s">
        <v>50</v>
      </c>
      <c r="H121" s="80" t="s">
        <v>50</v>
      </c>
      <c r="I121" s="79"/>
      <c r="J121" s="79"/>
      <c r="K121" s="80"/>
      <c r="L121" s="79"/>
      <c r="M121" s="79"/>
      <c r="N121" s="80"/>
      <c r="O121" s="79"/>
      <c r="P121" s="79"/>
      <c r="Q121" s="80"/>
    </row>
    <row r="122" spans="1:17" ht="60" customHeight="1">
      <c r="A122" s="81">
        <v>18</v>
      </c>
      <c r="B122" s="82"/>
      <c r="C122" s="83" t="s">
        <v>222</v>
      </c>
      <c r="D122" s="83" t="s">
        <v>48</v>
      </c>
      <c r="E122" s="84" t="s">
        <v>202</v>
      </c>
      <c r="F122" s="85"/>
      <c r="G122" s="86" t="s">
        <v>223</v>
      </c>
      <c r="H122" s="87" t="s">
        <v>223</v>
      </c>
      <c r="I122" s="86"/>
      <c r="J122" s="86"/>
      <c r="K122" s="87"/>
      <c r="L122" s="86"/>
      <c r="M122" s="86"/>
      <c r="N122" s="87"/>
      <c r="O122" s="86"/>
      <c r="P122" s="86"/>
      <c r="Q122" s="87"/>
    </row>
    <row r="123" spans="1:17" ht="45" customHeight="1">
      <c r="A123" s="81">
        <v>18</v>
      </c>
      <c r="B123" s="82"/>
      <c r="C123" s="83" t="s">
        <v>222</v>
      </c>
      <c r="D123" s="83" t="s">
        <v>48</v>
      </c>
      <c r="E123" s="84" t="s">
        <v>202</v>
      </c>
      <c r="F123" s="85"/>
      <c r="G123" s="85"/>
      <c r="H123" s="88"/>
      <c r="I123" s="86"/>
      <c r="J123" s="86"/>
      <c r="K123" s="87"/>
      <c r="L123" s="86"/>
      <c r="M123" s="86"/>
      <c r="N123" s="87"/>
      <c r="O123" s="86"/>
      <c r="P123" s="86"/>
      <c r="Q123" s="87"/>
    </row>
    <row r="124" spans="1:17" ht="14.45" customHeight="1">
      <c r="A124" s="81">
        <v>18</v>
      </c>
      <c r="B124" s="82"/>
      <c r="C124" s="83" t="s">
        <v>222</v>
      </c>
      <c r="D124" s="83" t="s">
        <v>48</v>
      </c>
      <c r="E124" s="84" t="s">
        <v>202</v>
      </c>
      <c r="F124" s="89">
        <v>1609</v>
      </c>
      <c r="G124" s="89">
        <v>4171</v>
      </c>
      <c r="H124" s="90">
        <v>1705</v>
      </c>
      <c r="I124" s="86"/>
      <c r="J124" s="86"/>
      <c r="K124" s="87"/>
      <c r="L124" s="86"/>
      <c r="M124" s="86"/>
      <c r="N124" s="87"/>
      <c r="O124" s="86"/>
      <c r="P124" s="86"/>
      <c r="Q124" s="87"/>
    </row>
    <row r="125" spans="1:17" ht="45" customHeight="1">
      <c r="A125" s="81">
        <v>18</v>
      </c>
      <c r="B125" s="82"/>
      <c r="C125" s="83" t="s">
        <v>222</v>
      </c>
      <c r="D125" s="83" t="s">
        <v>48</v>
      </c>
      <c r="E125" s="84" t="s">
        <v>202</v>
      </c>
      <c r="F125" s="85"/>
      <c r="G125" s="85"/>
      <c r="H125" s="88"/>
      <c r="I125" s="86"/>
      <c r="J125" s="86"/>
      <c r="K125" s="87"/>
      <c r="L125" s="86"/>
      <c r="M125" s="86"/>
      <c r="N125" s="87"/>
      <c r="O125" s="86"/>
      <c r="P125" s="86"/>
      <c r="Q125" s="87"/>
    </row>
    <row r="126" spans="1:17" ht="14.45" customHeight="1">
      <c r="A126" s="81">
        <v>18</v>
      </c>
      <c r="B126" s="82"/>
      <c r="C126" s="83" t="s">
        <v>222</v>
      </c>
      <c r="D126" s="83" t="s">
        <v>48</v>
      </c>
      <c r="E126" s="84" t="s">
        <v>202</v>
      </c>
      <c r="F126" s="89">
        <v>1350</v>
      </c>
      <c r="G126" s="89">
        <v>1123</v>
      </c>
      <c r="H126" s="90">
        <v>55</v>
      </c>
      <c r="I126" s="86"/>
      <c r="J126" s="86"/>
      <c r="K126" s="87"/>
      <c r="L126" s="86"/>
      <c r="M126" s="86"/>
      <c r="N126" s="87"/>
      <c r="O126" s="86"/>
      <c r="P126" s="86"/>
      <c r="Q126" s="87"/>
    </row>
    <row r="127" spans="1:17" ht="24" customHeight="1">
      <c r="A127" s="91">
        <v>18</v>
      </c>
      <c r="B127" s="92"/>
      <c r="C127" s="93" t="s">
        <v>222</v>
      </c>
      <c r="D127" s="93" t="s">
        <v>48</v>
      </c>
      <c r="E127" s="94" t="s">
        <v>202</v>
      </c>
      <c r="F127" s="95" t="s">
        <v>56</v>
      </c>
      <c r="G127" s="96">
        <v>2390000</v>
      </c>
      <c r="H127" s="97">
        <v>2390000</v>
      </c>
      <c r="I127" s="98"/>
      <c r="J127" s="98"/>
      <c r="K127" s="99"/>
      <c r="L127" s="98"/>
      <c r="M127" s="98"/>
      <c r="N127" s="99"/>
      <c r="O127" s="98"/>
      <c r="P127" s="98"/>
      <c r="Q127" s="99"/>
    </row>
    <row r="128" spans="1:17" ht="14.45" customHeight="1">
      <c r="A128" s="75">
        <v>19</v>
      </c>
      <c r="B128" s="76"/>
      <c r="C128" s="77" t="s">
        <v>224</v>
      </c>
      <c r="D128" s="77" t="s">
        <v>48</v>
      </c>
      <c r="E128" s="78" t="s">
        <v>202</v>
      </c>
      <c r="F128" s="79" t="s">
        <v>50</v>
      </c>
      <c r="G128" s="79" t="s">
        <v>50</v>
      </c>
      <c r="H128" s="80" t="s">
        <v>50</v>
      </c>
      <c r="I128" s="79"/>
      <c r="J128" s="79"/>
      <c r="K128" s="80"/>
      <c r="L128" s="79"/>
      <c r="M128" s="79"/>
      <c r="N128" s="80"/>
      <c r="O128" s="79"/>
      <c r="P128" s="79"/>
      <c r="Q128" s="80"/>
    </row>
    <row r="129" spans="1:17" ht="60" customHeight="1">
      <c r="A129" s="81">
        <v>19</v>
      </c>
      <c r="B129" s="82"/>
      <c r="C129" s="83" t="s">
        <v>224</v>
      </c>
      <c r="D129" s="83" t="s">
        <v>48</v>
      </c>
      <c r="E129" s="84" t="s">
        <v>202</v>
      </c>
      <c r="F129" s="85"/>
      <c r="G129" s="86" t="s">
        <v>225</v>
      </c>
      <c r="H129" s="87" t="s">
        <v>225</v>
      </c>
      <c r="I129" s="86"/>
      <c r="J129" s="86"/>
      <c r="K129" s="87"/>
      <c r="L129" s="86"/>
      <c r="M129" s="86"/>
      <c r="N129" s="87"/>
      <c r="O129" s="86"/>
      <c r="P129" s="86"/>
      <c r="Q129" s="87"/>
    </row>
    <row r="130" spans="1:17" ht="45" customHeight="1">
      <c r="A130" s="81">
        <v>19</v>
      </c>
      <c r="B130" s="82"/>
      <c r="C130" s="83" t="s">
        <v>224</v>
      </c>
      <c r="D130" s="83" t="s">
        <v>48</v>
      </c>
      <c r="E130" s="84" t="s">
        <v>202</v>
      </c>
      <c r="F130" s="85"/>
      <c r="G130" s="85"/>
      <c r="H130" s="88"/>
      <c r="I130" s="86"/>
      <c r="J130" s="86"/>
      <c r="K130" s="87"/>
      <c r="L130" s="86"/>
      <c r="M130" s="86"/>
      <c r="N130" s="87"/>
      <c r="O130" s="86"/>
      <c r="P130" s="86"/>
      <c r="Q130" s="87"/>
    </row>
    <row r="131" spans="1:17" ht="14.45" customHeight="1">
      <c r="A131" s="81">
        <v>19</v>
      </c>
      <c r="B131" s="82"/>
      <c r="C131" s="83" t="s">
        <v>224</v>
      </c>
      <c r="D131" s="83" t="s">
        <v>48</v>
      </c>
      <c r="E131" s="84" t="s">
        <v>202</v>
      </c>
      <c r="F131" s="89">
        <v>1609</v>
      </c>
      <c r="G131" s="89">
        <v>4171</v>
      </c>
      <c r="H131" s="90">
        <v>1705</v>
      </c>
      <c r="I131" s="86"/>
      <c r="J131" s="86"/>
      <c r="K131" s="87"/>
      <c r="L131" s="86"/>
      <c r="M131" s="86"/>
      <c r="N131" s="87"/>
      <c r="O131" s="86"/>
      <c r="P131" s="86"/>
      <c r="Q131" s="87"/>
    </row>
    <row r="132" spans="1:17" ht="45" customHeight="1">
      <c r="A132" s="81">
        <v>19</v>
      </c>
      <c r="B132" s="82"/>
      <c r="C132" s="83" t="s">
        <v>224</v>
      </c>
      <c r="D132" s="83" t="s">
        <v>48</v>
      </c>
      <c r="E132" s="84" t="s">
        <v>202</v>
      </c>
      <c r="F132" s="85"/>
      <c r="G132" s="85"/>
      <c r="H132" s="88"/>
      <c r="I132" s="86"/>
      <c r="J132" s="86"/>
      <c r="K132" s="87"/>
      <c r="L132" s="86"/>
      <c r="M132" s="86"/>
      <c r="N132" s="87"/>
      <c r="O132" s="86"/>
      <c r="P132" s="86"/>
      <c r="Q132" s="87"/>
    </row>
    <row r="133" spans="1:17" ht="14.45" customHeight="1">
      <c r="A133" s="81">
        <v>19</v>
      </c>
      <c r="B133" s="82"/>
      <c r="C133" s="83" t="s">
        <v>224</v>
      </c>
      <c r="D133" s="83" t="s">
        <v>48</v>
      </c>
      <c r="E133" s="84" t="s">
        <v>202</v>
      </c>
      <c r="F133" s="89">
        <v>1350</v>
      </c>
      <c r="G133" s="89">
        <v>1123</v>
      </c>
      <c r="H133" s="90">
        <v>55</v>
      </c>
      <c r="I133" s="86"/>
      <c r="J133" s="86"/>
      <c r="K133" s="87"/>
      <c r="L133" s="86"/>
      <c r="M133" s="86"/>
      <c r="N133" s="87"/>
      <c r="O133" s="86"/>
      <c r="P133" s="86"/>
      <c r="Q133" s="87"/>
    </row>
    <row r="134" spans="1:17" ht="24" customHeight="1">
      <c r="A134" s="91">
        <v>19</v>
      </c>
      <c r="B134" s="92"/>
      <c r="C134" s="93" t="s">
        <v>224</v>
      </c>
      <c r="D134" s="93" t="s">
        <v>48</v>
      </c>
      <c r="E134" s="94" t="s">
        <v>202</v>
      </c>
      <c r="F134" s="95" t="s">
        <v>56</v>
      </c>
      <c r="G134" s="96">
        <v>2390000</v>
      </c>
      <c r="H134" s="97">
        <v>2390000</v>
      </c>
      <c r="I134" s="98"/>
      <c r="J134" s="98"/>
      <c r="K134" s="99"/>
      <c r="L134" s="98"/>
      <c r="M134" s="98"/>
      <c r="N134" s="99"/>
      <c r="O134" s="98"/>
      <c r="P134" s="98"/>
      <c r="Q134" s="99"/>
    </row>
    <row r="135" spans="1:17" ht="14.45" customHeight="1">
      <c r="A135" s="75">
        <v>20</v>
      </c>
      <c r="B135" s="76"/>
      <c r="C135" s="77" t="s">
        <v>226</v>
      </c>
      <c r="D135" s="77" t="s">
        <v>48</v>
      </c>
      <c r="E135" s="78" t="s">
        <v>207</v>
      </c>
      <c r="F135" s="79" t="s">
        <v>50</v>
      </c>
      <c r="G135" s="79" t="s">
        <v>50</v>
      </c>
      <c r="H135" s="80" t="s">
        <v>50</v>
      </c>
      <c r="I135" s="79"/>
      <c r="J135" s="79"/>
      <c r="K135" s="80"/>
      <c r="L135" s="79"/>
      <c r="M135" s="79"/>
      <c r="N135" s="80"/>
      <c r="O135" s="79"/>
      <c r="P135" s="79"/>
      <c r="Q135" s="80"/>
    </row>
    <row r="136" spans="1:17" ht="60" customHeight="1">
      <c r="A136" s="81">
        <v>20</v>
      </c>
      <c r="B136" s="82"/>
      <c r="C136" s="83" t="s">
        <v>226</v>
      </c>
      <c r="D136" s="83" t="s">
        <v>48</v>
      </c>
      <c r="E136" s="84" t="s">
        <v>207</v>
      </c>
      <c r="F136" s="85"/>
      <c r="G136" s="86" t="s">
        <v>227</v>
      </c>
      <c r="H136" s="87" t="s">
        <v>227</v>
      </c>
      <c r="I136" s="86"/>
      <c r="J136" s="86"/>
      <c r="K136" s="87"/>
      <c r="L136" s="86"/>
      <c r="M136" s="86"/>
      <c r="N136" s="87"/>
      <c r="O136" s="86"/>
      <c r="P136" s="86"/>
      <c r="Q136" s="87"/>
    </row>
    <row r="137" spans="1:17" ht="45" customHeight="1">
      <c r="A137" s="81">
        <v>20</v>
      </c>
      <c r="B137" s="82"/>
      <c r="C137" s="83" t="s">
        <v>226</v>
      </c>
      <c r="D137" s="83" t="s">
        <v>48</v>
      </c>
      <c r="E137" s="84" t="s">
        <v>207</v>
      </c>
      <c r="F137" s="85"/>
      <c r="G137" s="85"/>
      <c r="H137" s="88"/>
      <c r="I137" s="86"/>
      <c r="J137" s="86"/>
      <c r="K137" s="87"/>
      <c r="L137" s="86"/>
      <c r="M137" s="86"/>
      <c r="N137" s="87"/>
      <c r="O137" s="86"/>
      <c r="P137" s="86"/>
      <c r="Q137" s="87"/>
    </row>
    <row r="138" spans="1:17" ht="14.45" customHeight="1">
      <c r="A138" s="81">
        <v>20</v>
      </c>
      <c r="B138" s="82"/>
      <c r="C138" s="83" t="s">
        <v>226</v>
      </c>
      <c r="D138" s="83" t="s">
        <v>48</v>
      </c>
      <c r="E138" s="84" t="s">
        <v>207</v>
      </c>
      <c r="F138" s="89">
        <v>1525</v>
      </c>
      <c r="G138" s="89">
        <v>5269</v>
      </c>
      <c r="H138" s="90">
        <v>1615</v>
      </c>
      <c r="I138" s="86"/>
      <c r="J138" s="86"/>
      <c r="K138" s="87"/>
      <c r="L138" s="86"/>
      <c r="M138" s="86"/>
      <c r="N138" s="87"/>
      <c r="O138" s="86"/>
      <c r="P138" s="86"/>
      <c r="Q138" s="87"/>
    </row>
    <row r="139" spans="1:17" ht="45" customHeight="1">
      <c r="A139" s="81">
        <v>20</v>
      </c>
      <c r="B139" s="82"/>
      <c r="C139" s="83" t="s">
        <v>226</v>
      </c>
      <c r="D139" s="83" t="s">
        <v>48</v>
      </c>
      <c r="E139" s="84" t="s">
        <v>207</v>
      </c>
      <c r="F139" s="85"/>
      <c r="G139" s="85"/>
      <c r="H139" s="88"/>
      <c r="I139" s="86"/>
      <c r="J139" s="86"/>
      <c r="K139" s="87"/>
      <c r="L139" s="86"/>
      <c r="M139" s="86"/>
      <c r="N139" s="87"/>
      <c r="O139" s="86"/>
      <c r="P139" s="86"/>
      <c r="Q139" s="87"/>
    </row>
    <row r="140" spans="1:17" ht="14.45" customHeight="1">
      <c r="A140" s="81">
        <v>20</v>
      </c>
      <c r="B140" s="82"/>
      <c r="C140" s="83" t="s">
        <v>226</v>
      </c>
      <c r="D140" s="83" t="s">
        <v>48</v>
      </c>
      <c r="E140" s="84" t="s">
        <v>207</v>
      </c>
      <c r="F140" s="89">
        <v>1279</v>
      </c>
      <c r="G140" s="89">
        <v>1030</v>
      </c>
      <c r="H140" s="90">
        <v>55</v>
      </c>
      <c r="I140" s="86"/>
      <c r="J140" s="86"/>
      <c r="K140" s="87"/>
      <c r="L140" s="86"/>
      <c r="M140" s="86"/>
      <c r="N140" s="87"/>
      <c r="O140" s="86"/>
      <c r="P140" s="86"/>
      <c r="Q140" s="87"/>
    </row>
    <row r="141" spans="1:17" ht="24" customHeight="1">
      <c r="A141" s="91">
        <v>20</v>
      </c>
      <c r="B141" s="92"/>
      <c r="C141" s="93" t="s">
        <v>226</v>
      </c>
      <c r="D141" s="93" t="s">
        <v>48</v>
      </c>
      <c r="E141" s="94" t="s">
        <v>207</v>
      </c>
      <c r="F141" s="95" t="s">
        <v>56</v>
      </c>
      <c r="G141" s="96">
        <v>2470000</v>
      </c>
      <c r="H141" s="97">
        <v>2470000</v>
      </c>
      <c r="I141" s="98"/>
      <c r="J141" s="98"/>
      <c r="K141" s="99"/>
      <c r="L141" s="98"/>
      <c r="M141" s="98"/>
      <c r="N141" s="99"/>
      <c r="O141" s="98"/>
      <c r="P141" s="98"/>
      <c r="Q141" s="99"/>
    </row>
    <row r="142" spans="1:17" ht="14.45" customHeight="1">
      <c r="A142" s="75">
        <v>21</v>
      </c>
      <c r="B142" s="76"/>
      <c r="C142" s="77" t="s">
        <v>228</v>
      </c>
      <c r="D142" s="77" t="s">
        <v>48</v>
      </c>
      <c r="E142" s="78" t="s">
        <v>207</v>
      </c>
      <c r="F142" s="79" t="s">
        <v>50</v>
      </c>
      <c r="G142" s="79" t="s">
        <v>50</v>
      </c>
      <c r="H142" s="80" t="s">
        <v>50</v>
      </c>
      <c r="I142" s="79"/>
      <c r="J142" s="79"/>
      <c r="K142" s="80"/>
      <c r="L142" s="79"/>
      <c r="M142" s="79"/>
      <c r="N142" s="80"/>
      <c r="O142" s="79"/>
      <c r="P142" s="79"/>
      <c r="Q142" s="80"/>
    </row>
    <row r="143" spans="1:17" ht="60" customHeight="1">
      <c r="A143" s="81">
        <v>21</v>
      </c>
      <c r="B143" s="82"/>
      <c r="C143" s="83" t="s">
        <v>228</v>
      </c>
      <c r="D143" s="83" t="s">
        <v>48</v>
      </c>
      <c r="E143" s="84" t="s">
        <v>207</v>
      </c>
      <c r="F143" s="85"/>
      <c r="G143" s="86" t="s">
        <v>229</v>
      </c>
      <c r="H143" s="87" t="s">
        <v>229</v>
      </c>
      <c r="I143" s="86"/>
      <c r="J143" s="86"/>
      <c r="K143" s="87"/>
      <c r="L143" s="86"/>
      <c r="M143" s="86"/>
      <c r="N143" s="87"/>
      <c r="O143" s="86"/>
      <c r="P143" s="86"/>
      <c r="Q143" s="87"/>
    </row>
    <row r="144" spans="1:17" ht="45" customHeight="1">
      <c r="A144" s="81">
        <v>21</v>
      </c>
      <c r="B144" s="82"/>
      <c r="C144" s="83" t="s">
        <v>228</v>
      </c>
      <c r="D144" s="83" t="s">
        <v>48</v>
      </c>
      <c r="E144" s="84" t="s">
        <v>207</v>
      </c>
      <c r="F144" s="85"/>
      <c r="G144" s="85"/>
      <c r="H144" s="88"/>
      <c r="I144" s="86"/>
      <c r="J144" s="86"/>
      <c r="K144" s="87"/>
      <c r="L144" s="86"/>
      <c r="M144" s="86"/>
      <c r="N144" s="87"/>
      <c r="O144" s="86"/>
      <c r="P144" s="86"/>
      <c r="Q144" s="87"/>
    </row>
    <row r="145" spans="1:17" ht="14.45" customHeight="1">
      <c r="A145" s="81">
        <v>21</v>
      </c>
      <c r="B145" s="82"/>
      <c r="C145" s="83" t="s">
        <v>228</v>
      </c>
      <c r="D145" s="83" t="s">
        <v>48</v>
      </c>
      <c r="E145" s="84" t="s">
        <v>207</v>
      </c>
      <c r="F145" s="89">
        <v>2202</v>
      </c>
      <c r="G145" s="89">
        <v>3512</v>
      </c>
      <c r="H145" s="90">
        <v>1435</v>
      </c>
      <c r="I145" s="86"/>
      <c r="J145" s="86"/>
      <c r="K145" s="87"/>
      <c r="L145" s="86"/>
      <c r="M145" s="86"/>
      <c r="N145" s="87"/>
      <c r="O145" s="86"/>
      <c r="P145" s="86"/>
      <c r="Q145" s="87"/>
    </row>
    <row r="146" spans="1:17" ht="45" customHeight="1">
      <c r="A146" s="81">
        <v>21</v>
      </c>
      <c r="B146" s="82"/>
      <c r="C146" s="83" t="s">
        <v>228</v>
      </c>
      <c r="D146" s="83" t="s">
        <v>48</v>
      </c>
      <c r="E146" s="84" t="s">
        <v>207</v>
      </c>
      <c r="F146" s="85"/>
      <c r="G146" s="85"/>
      <c r="H146" s="88"/>
      <c r="I146" s="86"/>
      <c r="J146" s="86"/>
      <c r="K146" s="87"/>
      <c r="L146" s="86"/>
      <c r="M146" s="86"/>
      <c r="N146" s="87"/>
      <c r="O146" s="86"/>
      <c r="P146" s="86"/>
      <c r="Q146" s="87"/>
    </row>
    <row r="147" spans="1:17" ht="14.45" customHeight="1">
      <c r="A147" s="81">
        <v>21</v>
      </c>
      <c r="B147" s="82"/>
      <c r="C147" s="83" t="s">
        <v>228</v>
      </c>
      <c r="D147" s="83" t="s">
        <v>48</v>
      </c>
      <c r="E147" s="84" t="s">
        <v>207</v>
      </c>
      <c r="F147" s="89">
        <v>1848</v>
      </c>
      <c r="G147" s="89">
        <v>749</v>
      </c>
      <c r="H147" s="90">
        <v>55</v>
      </c>
      <c r="I147" s="86"/>
      <c r="J147" s="86"/>
      <c r="K147" s="87"/>
      <c r="L147" s="86"/>
      <c r="M147" s="86"/>
      <c r="N147" s="87"/>
      <c r="O147" s="86"/>
      <c r="P147" s="86"/>
      <c r="Q147" s="87"/>
    </row>
    <row r="148" spans="1:17" ht="24" customHeight="1">
      <c r="A148" s="91">
        <v>21</v>
      </c>
      <c r="B148" s="92"/>
      <c r="C148" s="93" t="s">
        <v>228</v>
      </c>
      <c r="D148" s="93" t="s">
        <v>48</v>
      </c>
      <c r="E148" s="94" t="s">
        <v>207</v>
      </c>
      <c r="F148" s="95" t="s">
        <v>56</v>
      </c>
      <c r="G148" s="96">
        <v>2410000</v>
      </c>
      <c r="H148" s="97">
        <v>2410000</v>
      </c>
      <c r="I148" s="98"/>
      <c r="J148" s="98"/>
      <c r="K148" s="99"/>
      <c r="L148" s="98"/>
      <c r="M148" s="98"/>
      <c r="N148" s="99"/>
      <c r="O148" s="98"/>
      <c r="P148" s="98"/>
      <c r="Q148" s="99"/>
    </row>
    <row r="149" spans="1:17" ht="14.45" customHeight="1">
      <c r="A149" s="75">
        <v>22</v>
      </c>
      <c r="B149" s="76"/>
      <c r="C149" s="77" t="s">
        <v>230</v>
      </c>
      <c r="D149" s="77" t="s">
        <v>48</v>
      </c>
      <c r="E149" s="78" t="s">
        <v>216</v>
      </c>
      <c r="F149" s="79" t="s">
        <v>50</v>
      </c>
      <c r="G149" s="79" t="s">
        <v>50</v>
      </c>
      <c r="H149" s="80" t="s">
        <v>50</v>
      </c>
      <c r="I149" s="79" t="s">
        <v>51</v>
      </c>
      <c r="J149" s="79" t="s">
        <v>51</v>
      </c>
      <c r="K149" s="80" t="s">
        <v>51</v>
      </c>
      <c r="L149" s="79"/>
      <c r="M149" s="79"/>
      <c r="N149" s="80"/>
      <c r="O149" s="79"/>
      <c r="P149" s="79"/>
      <c r="Q149" s="80"/>
    </row>
    <row r="150" spans="1:17" ht="60" customHeight="1">
      <c r="A150" s="81">
        <v>22</v>
      </c>
      <c r="B150" s="82"/>
      <c r="C150" s="83" t="s">
        <v>230</v>
      </c>
      <c r="D150" s="83" t="s">
        <v>48</v>
      </c>
      <c r="E150" s="84" t="s">
        <v>216</v>
      </c>
      <c r="F150" s="85"/>
      <c r="G150" s="86" t="s">
        <v>231</v>
      </c>
      <c r="H150" s="87" t="s">
        <v>231</v>
      </c>
      <c r="I150" s="85"/>
      <c r="J150" s="86" t="s">
        <v>232</v>
      </c>
      <c r="K150" s="87" t="s">
        <v>232</v>
      </c>
      <c r="L150" s="86"/>
      <c r="M150" s="86"/>
      <c r="N150" s="87"/>
      <c r="O150" s="86"/>
      <c r="P150" s="86"/>
      <c r="Q150" s="87"/>
    </row>
    <row r="151" spans="1:17" ht="45" customHeight="1">
      <c r="A151" s="81">
        <v>22</v>
      </c>
      <c r="B151" s="82"/>
      <c r="C151" s="83" t="s">
        <v>230</v>
      </c>
      <c r="D151" s="83" t="s">
        <v>48</v>
      </c>
      <c r="E151" s="84" t="s">
        <v>216</v>
      </c>
      <c r="F151" s="85"/>
      <c r="G151" s="85"/>
      <c r="H151" s="88"/>
      <c r="I151" s="85"/>
      <c r="J151" s="85"/>
      <c r="K151" s="88"/>
      <c r="L151" s="86"/>
      <c r="M151" s="86"/>
      <c r="N151" s="87"/>
      <c r="O151" s="86"/>
      <c r="P151" s="86"/>
      <c r="Q151" s="87"/>
    </row>
    <row r="152" spans="1:17" ht="14.45" customHeight="1">
      <c r="A152" s="81">
        <v>22</v>
      </c>
      <c r="B152" s="82"/>
      <c r="C152" s="83" t="s">
        <v>230</v>
      </c>
      <c r="D152" s="83" t="s">
        <v>48</v>
      </c>
      <c r="E152" s="84" t="s">
        <v>216</v>
      </c>
      <c r="F152" s="89">
        <v>2202</v>
      </c>
      <c r="G152" s="89">
        <v>2195</v>
      </c>
      <c r="H152" s="90">
        <v>2333</v>
      </c>
      <c r="I152" s="89">
        <v>2202</v>
      </c>
      <c r="J152" s="89">
        <v>2195</v>
      </c>
      <c r="K152" s="90">
        <v>2333</v>
      </c>
      <c r="L152" s="86"/>
      <c r="M152" s="86"/>
      <c r="N152" s="87"/>
      <c r="O152" s="86"/>
      <c r="P152" s="86"/>
      <c r="Q152" s="87"/>
    </row>
    <row r="153" spans="1:17" ht="45" customHeight="1">
      <c r="A153" s="81">
        <v>22</v>
      </c>
      <c r="B153" s="82"/>
      <c r="C153" s="83" t="s">
        <v>230</v>
      </c>
      <c r="D153" s="83" t="s">
        <v>48</v>
      </c>
      <c r="E153" s="84" t="s">
        <v>216</v>
      </c>
      <c r="F153" s="85"/>
      <c r="G153" s="85"/>
      <c r="H153" s="88"/>
      <c r="I153" s="85"/>
      <c r="J153" s="85"/>
      <c r="K153" s="88"/>
      <c r="L153" s="86"/>
      <c r="M153" s="86"/>
      <c r="N153" s="87"/>
      <c r="O153" s="86"/>
      <c r="P153" s="86"/>
      <c r="Q153" s="87"/>
    </row>
    <row r="154" spans="1:17" ht="14.45" customHeight="1">
      <c r="A154" s="81">
        <v>22</v>
      </c>
      <c r="B154" s="82"/>
      <c r="C154" s="83" t="s">
        <v>230</v>
      </c>
      <c r="D154" s="83" t="s">
        <v>48</v>
      </c>
      <c r="E154" s="84" t="s">
        <v>216</v>
      </c>
      <c r="F154" s="89">
        <v>2700</v>
      </c>
      <c r="G154" s="89">
        <v>55</v>
      </c>
      <c r="H154" s="88"/>
      <c r="I154" s="89">
        <v>2700</v>
      </c>
      <c r="J154" s="89">
        <v>55</v>
      </c>
      <c r="K154" s="88"/>
      <c r="L154" s="86"/>
      <c r="M154" s="86"/>
      <c r="N154" s="87"/>
      <c r="O154" s="86"/>
      <c r="P154" s="86"/>
      <c r="Q154" s="87"/>
    </row>
    <row r="155" spans="1:17" ht="24" customHeight="1">
      <c r="A155" s="91">
        <v>22</v>
      </c>
      <c r="B155" s="92"/>
      <c r="C155" s="93" t="s">
        <v>230</v>
      </c>
      <c r="D155" s="93" t="s">
        <v>48</v>
      </c>
      <c r="E155" s="94" t="s">
        <v>216</v>
      </c>
      <c r="F155" s="95" t="s">
        <v>56</v>
      </c>
      <c r="G155" s="96">
        <v>2390000</v>
      </c>
      <c r="H155" s="97">
        <v>2390000</v>
      </c>
      <c r="I155" s="95" t="s">
        <v>56</v>
      </c>
      <c r="J155" s="96">
        <v>2390000</v>
      </c>
      <c r="K155" s="97">
        <v>2390000</v>
      </c>
      <c r="L155" s="98"/>
      <c r="M155" s="98"/>
      <c r="N155" s="99"/>
      <c r="O155" s="98"/>
      <c r="P155" s="98"/>
      <c r="Q155" s="99"/>
    </row>
    <row r="156" spans="1:17" ht="14.45" customHeight="1">
      <c r="A156" s="75">
        <v>23</v>
      </c>
      <c r="B156" s="76"/>
      <c r="C156" s="77" t="s">
        <v>233</v>
      </c>
      <c r="D156" s="77" t="s">
        <v>48</v>
      </c>
      <c r="E156" s="78" t="s">
        <v>202</v>
      </c>
      <c r="F156" s="79" t="s">
        <v>50</v>
      </c>
      <c r="G156" s="79" t="s">
        <v>50</v>
      </c>
      <c r="H156" s="80" t="s">
        <v>50</v>
      </c>
      <c r="I156" s="79"/>
      <c r="J156" s="79"/>
      <c r="K156" s="80"/>
      <c r="L156" s="79"/>
      <c r="M156" s="79"/>
      <c r="N156" s="80"/>
      <c r="O156" s="79"/>
      <c r="P156" s="79"/>
      <c r="Q156" s="80"/>
    </row>
    <row r="157" spans="1:17" ht="60" customHeight="1">
      <c r="A157" s="81">
        <v>23</v>
      </c>
      <c r="B157" s="82"/>
      <c r="C157" s="83" t="s">
        <v>233</v>
      </c>
      <c r="D157" s="83" t="s">
        <v>48</v>
      </c>
      <c r="E157" s="84" t="s">
        <v>202</v>
      </c>
      <c r="F157" s="85"/>
      <c r="G157" s="86" t="s">
        <v>234</v>
      </c>
      <c r="H157" s="87" t="s">
        <v>234</v>
      </c>
      <c r="I157" s="86"/>
      <c r="J157" s="86"/>
      <c r="K157" s="87"/>
      <c r="L157" s="86"/>
      <c r="M157" s="86"/>
      <c r="N157" s="87"/>
      <c r="O157" s="86"/>
      <c r="P157" s="86"/>
      <c r="Q157" s="87"/>
    </row>
    <row r="158" spans="1:17" ht="45" customHeight="1">
      <c r="A158" s="81">
        <v>23</v>
      </c>
      <c r="B158" s="82"/>
      <c r="C158" s="83" t="s">
        <v>233</v>
      </c>
      <c r="D158" s="83" t="s">
        <v>48</v>
      </c>
      <c r="E158" s="84" t="s">
        <v>202</v>
      </c>
      <c r="F158" s="85"/>
      <c r="G158" s="85"/>
      <c r="H158" s="88"/>
      <c r="I158" s="86"/>
      <c r="J158" s="86"/>
      <c r="K158" s="87"/>
      <c r="L158" s="86"/>
      <c r="M158" s="86"/>
      <c r="N158" s="87"/>
      <c r="O158" s="86"/>
      <c r="P158" s="86"/>
      <c r="Q158" s="87"/>
    </row>
    <row r="159" spans="1:17" ht="14.45" customHeight="1">
      <c r="A159" s="81">
        <v>23</v>
      </c>
      <c r="B159" s="82"/>
      <c r="C159" s="83" t="s">
        <v>233</v>
      </c>
      <c r="D159" s="83" t="s">
        <v>48</v>
      </c>
      <c r="E159" s="84" t="s">
        <v>202</v>
      </c>
      <c r="F159" s="89">
        <v>3303</v>
      </c>
      <c r="G159" s="89">
        <v>4171</v>
      </c>
      <c r="H159" s="90">
        <v>2063</v>
      </c>
      <c r="I159" s="86"/>
      <c r="J159" s="86"/>
      <c r="K159" s="87"/>
      <c r="L159" s="86"/>
      <c r="M159" s="86"/>
      <c r="N159" s="87"/>
      <c r="O159" s="86"/>
      <c r="P159" s="86"/>
      <c r="Q159" s="87"/>
    </row>
    <row r="160" spans="1:17" ht="45" customHeight="1">
      <c r="A160" s="81">
        <v>23</v>
      </c>
      <c r="B160" s="82"/>
      <c r="C160" s="83" t="s">
        <v>233</v>
      </c>
      <c r="D160" s="83" t="s">
        <v>48</v>
      </c>
      <c r="E160" s="84" t="s">
        <v>202</v>
      </c>
      <c r="F160" s="85"/>
      <c r="G160" s="85"/>
      <c r="H160" s="88"/>
      <c r="I160" s="86"/>
      <c r="J160" s="86"/>
      <c r="K160" s="87"/>
      <c r="L160" s="86"/>
      <c r="M160" s="86"/>
      <c r="N160" s="87"/>
      <c r="O160" s="86"/>
      <c r="P160" s="86"/>
      <c r="Q160" s="87"/>
    </row>
    <row r="161" spans="1:17" ht="14.45" customHeight="1">
      <c r="A161" s="81">
        <v>23</v>
      </c>
      <c r="B161" s="82"/>
      <c r="C161" s="83" t="s">
        <v>233</v>
      </c>
      <c r="D161" s="83" t="s">
        <v>48</v>
      </c>
      <c r="E161" s="84" t="s">
        <v>202</v>
      </c>
      <c r="F161" s="89">
        <v>1350</v>
      </c>
      <c r="G161" s="89">
        <v>55</v>
      </c>
      <c r="H161" s="88"/>
      <c r="I161" s="86"/>
      <c r="J161" s="86"/>
      <c r="K161" s="87"/>
      <c r="L161" s="86"/>
      <c r="M161" s="86"/>
      <c r="N161" s="87"/>
      <c r="O161" s="86"/>
      <c r="P161" s="86"/>
      <c r="Q161" s="87"/>
    </row>
    <row r="162" spans="1:17" ht="24" customHeight="1">
      <c r="A162" s="91">
        <v>23</v>
      </c>
      <c r="B162" s="92"/>
      <c r="C162" s="93" t="s">
        <v>233</v>
      </c>
      <c r="D162" s="93" t="s">
        <v>48</v>
      </c>
      <c r="E162" s="94" t="s">
        <v>202</v>
      </c>
      <c r="F162" s="95" t="s">
        <v>56</v>
      </c>
      <c r="G162" s="96">
        <v>2350000</v>
      </c>
      <c r="H162" s="97">
        <v>2350000</v>
      </c>
      <c r="I162" s="98"/>
      <c r="J162" s="98"/>
      <c r="K162" s="99"/>
      <c r="L162" s="98"/>
      <c r="M162" s="98"/>
      <c r="N162" s="99"/>
      <c r="O162" s="98"/>
      <c r="P162" s="98"/>
      <c r="Q162" s="99"/>
    </row>
    <row r="163" spans="1:17" ht="14.45" customHeight="1">
      <c r="A163" s="75">
        <v>24</v>
      </c>
      <c r="B163" s="76"/>
      <c r="C163" s="100" t="s">
        <v>221</v>
      </c>
      <c r="D163" s="100" t="s">
        <v>117</v>
      </c>
      <c r="E163" s="78" t="s">
        <v>202</v>
      </c>
      <c r="F163" s="79" t="s">
        <v>50</v>
      </c>
      <c r="G163" s="79" t="s">
        <v>50</v>
      </c>
      <c r="H163" s="80" t="s">
        <v>50</v>
      </c>
      <c r="I163" s="79" t="s">
        <v>51</v>
      </c>
      <c r="J163" s="79" t="s">
        <v>51</v>
      </c>
      <c r="K163" s="80" t="s">
        <v>51</v>
      </c>
      <c r="L163" s="79"/>
      <c r="M163" s="79"/>
      <c r="N163" s="80"/>
      <c r="O163" s="79"/>
      <c r="P163" s="79"/>
      <c r="Q163" s="80"/>
    </row>
    <row r="164" spans="1:17" ht="60" customHeight="1">
      <c r="A164" s="81">
        <v>24</v>
      </c>
      <c r="B164" s="82"/>
      <c r="C164" s="101" t="s">
        <v>221</v>
      </c>
      <c r="D164" s="101" t="s">
        <v>117</v>
      </c>
      <c r="E164" s="84" t="s">
        <v>202</v>
      </c>
      <c r="F164" s="85"/>
      <c r="G164" s="86" t="s">
        <v>235</v>
      </c>
      <c r="H164" s="87" t="s">
        <v>235</v>
      </c>
      <c r="I164" s="85"/>
      <c r="J164" s="86" t="s">
        <v>235</v>
      </c>
      <c r="K164" s="87" t="s">
        <v>235</v>
      </c>
      <c r="L164" s="86"/>
      <c r="M164" s="86"/>
      <c r="N164" s="87"/>
      <c r="O164" s="86"/>
      <c r="P164" s="86"/>
      <c r="Q164" s="87"/>
    </row>
    <row r="165" spans="1:17" ht="45" customHeight="1">
      <c r="A165" s="81">
        <v>24</v>
      </c>
      <c r="B165" s="82"/>
      <c r="C165" s="101" t="s">
        <v>221</v>
      </c>
      <c r="D165" s="101" t="s">
        <v>117</v>
      </c>
      <c r="E165" s="84" t="s">
        <v>202</v>
      </c>
      <c r="F165" s="85"/>
      <c r="G165" s="85"/>
      <c r="H165" s="88"/>
      <c r="I165" s="85"/>
      <c r="J165" s="85"/>
      <c r="K165" s="88"/>
      <c r="L165" s="86"/>
      <c r="M165" s="86"/>
      <c r="N165" s="87"/>
      <c r="O165" s="86"/>
      <c r="P165" s="86"/>
      <c r="Q165" s="87"/>
    </row>
    <row r="166" spans="1:17" ht="14.45" customHeight="1">
      <c r="A166" s="81">
        <v>24</v>
      </c>
      <c r="B166" s="82"/>
      <c r="C166" s="101" t="s">
        <v>221</v>
      </c>
      <c r="D166" s="101" t="s">
        <v>117</v>
      </c>
      <c r="E166" s="84" t="s">
        <v>202</v>
      </c>
      <c r="F166" s="89">
        <v>570</v>
      </c>
      <c r="G166" s="89">
        <v>2214</v>
      </c>
      <c r="H166" s="90">
        <v>646</v>
      </c>
      <c r="I166" s="89">
        <v>759</v>
      </c>
      <c r="J166" s="89">
        <v>1379</v>
      </c>
      <c r="K166" s="90">
        <v>160</v>
      </c>
      <c r="L166" s="86"/>
      <c r="M166" s="86"/>
      <c r="N166" s="87"/>
      <c r="O166" s="86"/>
      <c r="P166" s="86"/>
      <c r="Q166" s="87"/>
    </row>
    <row r="167" spans="1:17" ht="45" customHeight="1">
      <c r="A167" s="81">
        <v>24</v>
      </c>
      <c r="B167" s="82"/>
      <c r="C167" s="101" t="s">
        <v>221</v>
      </c>
      <c r="D167" s="101" t="s">
        <v>117</v>
      </c>
      <c r="E167" s="84" t="s">
        <v>202</v>
      </c>
      <c r="F167" s="85"/>
      <c r="G167" s="85"/>
      <c r="H167" s="88"/>
      <c r="I167" s="85"/>
      <c r="J167" s="85"/>
      <c r="K167" s="88"/>
      <c r="L167" s="86"/>
      <c r="M167" s="86"/>
      <c r="N167" s="87"/>
      <c r="O167" s="86"/>
      <c r="P167" s="86"/>
      <c r="Q167" s="87"/>
    </row>
    <row r="168" spans="1:17" ht="14.45" customHeight="1">
      <c r="A168" s="81">
        <v>24</v>
      </c>
      <c r="B168" s="82"/>
      <c r="C168" s="101" t="s">
        <v>221</v>
      </c>
      <c r="D168" s="101" t="s">
        <v>117</v>
      </c>
      <c r="E168" s="84" t="s">
        <v>202</v>
      </c>
      <c r="F168" s="89">
        <v>512</v>
      </c>
      <c r="G168" s="89">
        <v>787</v>
      </c>
      <c r="H168" s="90">
        <v>10</v>
      </c>
      <c r="I168" s="89">
        <v>44</v>
      </c>
      <c r="J168" s="89">
        <v>14</v>
      </c>
      <c r="K168" s="90">
        <v>10</v>
      </c>
      <c r="L168" s="86"/>
      <c r="M168" s="86"/>
      <c r="N168" s="87"/>
      <c r="O168" s="86"/>
      <c r="P168" s="86"/>
      <c r="Q168" s="87"/>
    </row>
    <row r="169" spans="1:17" ht="24" customHeight="1">
      <c r="A169" s="91">
        <v>24</v>
      </c>
      <c r="B169" s="92"/>
      <c r="C169" s="102" t="s">
        <v>221</v>
      </c>
      <c r="D169" s="102" t="s">
        <v>117</v>
      </c>
      <c r="E169" s="94" t="s">
        <v>202</v>
      </c>
      <c r="F169" s="95" t="s">
        <v>56</v>
      </c>
      <c r="G169" s="96">
        <v>1240000</v>
      </c>
      <c r="H169" s="97">
        <v>1240000</v>
      </c>
      <c r="I169" s="95" t="s">
        <v>56</v>
      </c>
      <c r="J169" s="96">
        <v>1050000</v>
      </c>
      <c r="K169" s="97">
        <v>1050000</v>
      </c>
      <c r="L169" s="98"/>
      <c r="M169" s="98"/>
      <c r="N169" s="99"/>
      <c r="O169" s="98"/>
      <c r="P169" s="98"/>
      <c r="Q169" s="99"/>
    </row>
    <row r="170" spans="1:17" ht="14.45" customHeight="1">
      <c r="A170" s="75">
        <v>25</v>
      </c>
      <c r="B170" s="76"/>
      <c r="C170" s="100" t="s">
        <v>225</v>
      </c>
      <c r="D170" s="100" t="s">
        <v>117</v>
      </c>
      <c r="E170" s="78" t="s">
        <v>202</v>
      </c>
      <c r="F170" s="79" t="s">
        <v>50</v>
      </c>
      <c r="G170" s="79" t="s">
        <v>50</v>
      </c>
      <c r="H170" s="80" t="s">
        <v>50</v>
      </c>
      <c r="I170" s="79" t="s">
        <v>51</v>
      </c>
      <c r="J170" s="79" t="s">
        <v>51</v>
      </c>
      <c r="K170" s="80" t="s">
        <v>51</v>
      </c>
      <c r="L170" s="79"/>
      <c r="M170" s="79"/>
      <c r="N170" s="80"/>
      <c r="O170" s="79"/>
      <c r="P170" s="79"/>
      <c r="Q170" s="80"/>
    </row>
    <row r="171" spans="1:17" ht="60" customHeight="1">
      <c r="A171" s="81">
        <v>25</v>
      </c>
      <c r="B171" s="82"/>
      <c r="C171" s="101" t="s">
        <v>225</v>
      </c>
      <c r="D171" s="101" t="s">
        <v>117</v>
      </c>
      <c r="E171" s="84" t="s">
        <v>202</v>
      </c>
      <c r="F171" s="85"/>
      <c r="G171" s="86" t="s">
        <v>236</v>
      </c>
      <c r="H171" s="87" t="s">
        <v>236</v>
      </c>
      <c r="I171" s="85"/>
      <c r="J171" s="86" t="s">
        <v>236</v>
      </c>
      <c r="K171" s="87" t="s">
        <v>236</v>
      </c>
      <c r="L171" s="86"/>
      <c r="M171" s="86"/>
      <c r="N171" s="87"/>
      <c r="O171" s="86"/>
      <c r="P171" s="86"/>
      <c r="Q171" s="87"/>
    </row>
    <row r="172" spans="1:17" ht="45" customHeight="1">
      <c r="A172" s="81">
        <v>25</v>
      </c>
      <c r="B172" s="82"/>
      <c r="C172" s="101" t="s">
        <v>225</v>
      </c>
      <c r="D172" s="101" t="s">
        <v>117</v>
      </c>
      <c r="E172" s="84" t="s">
        <v>202</v>
      </c>
      <c r="F172" s="85"/>
      <c r="G172" s="85"/>
      <c r="H172" s="88"/>
      <c r="I172" s="85"/>
      <c r="J172" s="85"/>
      <c r="K172" s="88"/>
      <c r="L172" s="86"/>
      <c r="M172" s="86"/>
      <c r="N172" s="87"/>
      <c r="O172" s="86"/>
      <c r="P172" s="86"/>
      <c r="Q172" s="87"/>
    </row>
    <row r="173" spans="1:17" ht="14.45" customHeight="1">
      <c r="A173" s="81">
        <v>25</v>
      </c>
      <c r="B173" s="82"/>
      <c r="C173" s="101" t="s">
        <v>225</v>
      </c>
      <c r="D173" s="101" t="s">
        <v>117</v>
      </c>
      <c r="E173" s="84" t="s">
        <v>202</v>
      </c>
      <c r="F173" s="89">
        <v>773</v>
      </c>
      <c r="G173" s="89">
        <v>2004</v>
      </c>
      <c r="H173" s="90">
        <v>819</v>
      </c>
      <c r="I173" s="89">
        <v>1185</v>
      </c>
      <c r="J173" s="89">
        <v>1045</v>
      </c>
      <c r="K173" s="90">
        <v>222</v>
      </c>
      <c r="L173" s="86"/>
      <c r="M173" s="86"/>
      <c r="N173" s="87"/>
      <c r="O173" s="86"/>
      <c r="P173" s="86"/>
      <c r="Q173" s="87"/>
    </row>
    <row r="174" spans="1:17" ht="45" customHeight="1">
      <c r="A174" s="81">
        <v>25</v>
      </c>
      <c r="B174" s="82"/>
      <c r="C174" s="101" t="s">
        <v>225</v>
      </c>
      <c r="D174" s="101" t="s">
        <v>117</v>
      </c>
      <c r="E174" s="84" t="s">
        <v>202</v>
      </c>
      <c r="F174" s="85"/>
      <c r="G174" s="85"/>
      <c r="H174" s="88"/>
      <c r="I174" s="85"/>
      <c r="J174" s="85"/>
      <c r="K174" s="88"/>
      <c r="L174" s="86"/>
      <c r="M174" s="86"/>
      <c r="N174" s="87"/>
      <c r="O174" s="86"/>
      <c r="P174" s="86"/>
      <c r="Q174" s="87"/>
    </row>
    <row r="175" spans="1:17" ht="14.45" customHeight="1">
      <c r="A175" s="81">
        <v>25</v>
      </c>
      <c r="B175" s="82"/>
      <c r="C175" s="101" t="s">
        <v>225</v>
      </c>
      <c r="D175" s="101" t="s">
        <v>117</v>
      </c>
      <c r="E175" s="84" t="s">
        <v>202</v>
      </c>
      <c r="F175" s="89">
        <v>649</v>
      </c>
      <c r="G175" s="89">
        <v>540</v>
      </c>
      <c r="H175" s="90">
        <v>10</v>
      </c>
      <c r="I175" s="89">
        <v>34</v>
      </c>
      <c r="J175" s="89">
        <v>10</v>
      </c>
      <c r="K175" s="90">
        <v>10</v>
      </c>
      <c r="L175" s="86"/>
      <c r="M175" s="86"/>
      <c r="N175" s="87"/>
      <c r="O175" s="86"/>
      <c r="P175" s="86"/>
      <c r="Q175" s="87"/>
    </row>
    <row r="176" spans="1:17" ht="24" customHeight="1">
      <c r="A176" s="91">
        <v>25</v>
      </c>
      <c r="B176" s="92"/>
      <c r="C176" s="102" t="s">
        <v>225</v>
      </c>
      <c r="D176" s="102" t="s">
        <v>117</v>
      </c>
      <c r="E176" s="94" t="s">
        <v>202</v>
      </c>
      <c r="F176" s="95" t="s">
        <v>56</v>
      </c>
      <c r="G176" s="96">
        <v>1150000</v>
      </c>
      <c r="H176" s="97">
        <v>1150000</v>
      </c>
      <c r="I176" s="95" t="s">
        <v>56</v>
      </c>
      <c r="J176" s="96">
        <v>1060000</v>
      </c>
      <c r="K176" s="97">
        <v>1060000</v>
      </c>
      <c r="L176" s="98"/>
      <c r="M176" s="98"/>
      <c r="N176" s="99"/>
      <c r="O176" s="98"/>
      <c r="P176" s="98"/>
      <c r="Q176" s="99"/>
    </row>
    <row r="177" spans="1:17" ht="14.45" customHeight="1">
      <c r="A177" s="75">
        <v>26</v>
      </c>
      <c r="B177" s="76"/>
      <c r="C177" s="100" t="s">
        <v>223</v>
      </c>
      <c r="D177" s="100" t="s">
        <v>117</v>
      </c>
      <c r="E177" s="78" t="s">
        <v>202</v>
      </c>
      <c r="F177" s="79" t="s">
        <v>50</v>
      </c>
      <c r="G177" s="79" t="s">
        <v>50</v>
      </c>
      <c r="H177" s="80" t="s">
        <v>50</v>
      </c>
      <c r="I177" s="79" t="s">
        <v>51</v>
      </c>
      <c r="J177" s="79" t="s">
        <v>51</v>
      </c>
      <c r="K177" s="80" t="s">
        <v>51</v>
      </c>
      <c r="L177" s="79"/>
      <c r="M177" s="79"/>
      <c r="N177" s="80"/>
      <c r="O177" s="79"/>
      <c r="P177" s="79"/>
      <c r="Q177" s="80"/>
    </row>
    <row r="178" spans="1:17" ht="60" customHeight="1">
      <c r="A178" s="81">
        <v>26</v>
      </c>
      <c r="B178" s="82"/>
      <c r="C178" s="101" t="s">
        <v>223</v>
      </c>
      <c r="D178" s="101" t="s">
        <v>117</v>
      </c>
      <c r="E178" s="84" t="s">
        <v>202</v>
      </c>
      <c r="F178" s="85"/>
      <c r="G178" s="86" t="s">
        <v>237</v>
      </c>
      <c r="H178" s="87" t="s">
        <v>237</v>
      </c>
      <c r="I178" s="85"/>
      <c r="J178" s="86" t="s">
        <v>237</v>
      </c>
      <c r="K178" s="87" t="s">
        <v>237</v>
      </c>
      <c r="L178" s="86"/>
      <c r="M178" s="86"/>
      <c r="N178" s="87"/>
      <c r="O178" s="86"/>
      <c r="P178" s="86"/>
      <c r="Q178" s="87"/>
    </row>
    <row r="179" spans="1:17" ht="45" customHeight="1">
      <c r="A179" s="81">
        <v>26</v>
      </c>
      <c r="B179" s="82"/>
      <c r="C179" s="101" t="s">
        <v>223</v>
      </c>
      <c r="D179" s="101" t="s">
        <v>117</v>
      </c>
      <c r="E179" s="84" t="s">
        <v>202</v>
      </c>
      <c r="F179" s="85"/>
      <c r="G179" s="85"/>
      <c r="H179" s="88"/>
      <c r="I179" s="85"/>
      <c r="J179" s="85"/>
      <c r="K179" s="88"/>
      <c r="L179" s="86"/>
      <c r="M179" s="86"/>
      <c r="N179" s="87"/>
      <c r="O179" s="86"/>
      <c r="P179" s="86"/>
      <c r="Q179" s="87"/>
    </row>
    <row r="180" spans="1:17" ht="14.45" customHeight="1">
      <c r="A180" s="81">
        <v>26</v>
      </c>
      <c r="B180" s="82"/>
      <c r="C180" s="101" t="s">
        <v>223</v>
      </c>
      <c r="D180" s="101" t="s">
        <v>117</v>
      </c>
      <c r="E180" s="84" t="s">
        <v>202</v>
      </c>
      <c r="F180" s="89">
        <v>773</v>
      </c>
      <c r="G180" s="89">
        <v>2004</v>
      </c>
      <c r="H180" s="90">
        <v>819</v>
      </c>
      <c r="I180" s="89">
        <v>1185</v>
      </c>
      <c r="J180" s="89">
        <v>1045</v>
      </c>
      <c r="K180" s="90">
        <v>222</v>
      </c>
      <c r="L180" s="86"/>
      <c r="M180" s="86"/>
      <c r="N180" s="87"/>
      <c r="O180" s="86"/>
      <c r="P180" s="86"/>
      <c r="Q180" s="87"/>
    </row>
    <row r="181" spans="1:17" ht="45" customHeight="1">
      <c r="A181" s="81">
        <v>26</v>
      </c>
      <c r="B181" s="82"/>
      <c r="C181" s="101" t="s">
        <v>223</v>
      </c>
      <c r="D181" s="101" t="s">
        <v>117</v>
      </c>
      <c r="E181" s="84" t="s">
        <v>202</v>
      </c>
      <c r="F181" s="85"/>
      <c r="G181" s="85"/>
      <c r="H181" s="88"/>
      <c r="I181" s="85"/>
      <c r="J181" s="85"/>
      <c r="K181" s="88"/>
      <c r="L181" s="86"/>
      <c r="M181" s="86"/>
      <c r="N181" s="87"/>
      <c r="O181" s="86"/>
      <c r="P181" s="86"/>
      <c r="Q181" s="87"/>
    </row>
    <row r="182" spans="1:17" ht="14.45" customHeight="1">
      <c r="A182" s="81">
        <v>26</v>
      </c>
      <c r="B182" s="82"/>
      <c r="C182" s="101" t="s">
        <v>223</v>
      </c>
      <c r="D182" s="101" t="s">
        <v>117</v>
      </c>
      <c r="E182" s="84" t="s">
        <v>202</v>
      </c>
      <c r="F182" s="89">
        <v>649</v>
      </c>
      <c r="G182" s="89">
        <v>540</v>
      </c>
      <c r="H182" s="90">
        <v>10</v>
      </c>
      <c r="I182" s="89">
        <v>34</v>
      </c>
      <c r="J182" s="89">
        <v>10</v>
      </c>
      <c r="K182" s="90">
        <v>10</v>
      </c>
      <c r="L182" s="86"/>
      <c r="M182" s="86"/>
      <c r="N182" s="87"/>
      <c r="O182" s="86"/>
      <c r="P182" s="86"/>
      <c r="Q182" s="87"/>
    </row>
    <row r="183" spans="1:17" ht="24" customHeight="1">
      <c r="A183" s="91">
        <v>26</v>
      </c>
      <c r="B183" s="92"/>
      <c r="C183" s="102" t="s">
        <v>223</v>
      </c>
      <c r="D183" s="102" t="s">
        <v>117</v>
      </c>
      <c r="E183" s="94" t="s">
        <v>202</v>
      </c>
      <c r="F183" s="95" t="s">
        <v>56</v>
      </c>
      <c r="G183" s="96">
        <v>1150000</v>
      </c>
      <c r="H183" s="97">
        <v>1150000</v>
      </c>
      <c r="I183" s="95" t="s">
        <v>56</v>
      </c>
      <c r="J183" s="96">
        <v>1060000</v>
      </c>
      <c r="K183" s="97">
        <v>1060000</v>
      </c>
      <c r="L183" s="98"/>
      <c r="M183" s="98"/>
      <c r="N183" s="99"/>
      <c r="O183" s="98"/>
      <c r="P183" s="98"/>
      <c r="Q183" s="99"/>
    </row>
    <row r="184" spans="1:17" ht="14.45" customHeight="1">
      <c r="A184" s="75">
        <v>27</v>
      </c>
      <c r="B184" s="76"/>
      <c r="C184" s="100" t="s">
        <v>227</v>
      </c>
      <c r="D184" s="100" t="s">
        <v>117</v>
      </c>
      <c r="E184" s="78" t="s">
        <v>207</v>
      </c>
      <c r="F184" s="79" t="s">
        <v>50</v>
      </c>
      <c r="G184" s="79" t="s">
        <v>50</v>
      </c>
      <c r="H184" s="80" t="s">
        <v>50</v>
      </c>
      <c r="I184" s="79" t="s">
        <v>51</v>
      </c>
      <c r="J184" s="79" t="s">
        <v>51</v>
      </c>
      <c r="K184" s="80" t="s">
        <v>51</v>
      </c>
      <c r="L184" s="79"/>
      <c r="M184" s="79"/>
      <c r="N184" s="80"/>
      <c r="O184" s="79"/>
      <c r="P184" s="79"/>
      <c r="Q184" s="80"/>
    </row>
    <row r="185" spans="1:17" ht="60" customHeight="1">
      <c r="A185" s="81">
        <v>27</v>
      </c>
      <c r="B185" s="82"/>
      <c r="C185" s="101" t="s">
        <v>227</v>
      </c>
      <c r="D185" s="101" t="s">
        <v>117</v>
      </c>
      <c r="E185" s="84" t="s">
        <v>207</v>
      </c>
      <c r="F185" s="85"/>
      <c r="G185" s="86" t="s">
        <v>238</v>
      </c>
      <c r="H185" s="87" t="s">
        <v>238</v>
      </c>
      <c r="I185" s="85"/>
      <c r="J185" s="86" t="s">
        <v>238</v>
      </c>
      <c r="K185" s="87" t="s">
        <v>238</v>
      </c>
      <c r="L185" s="86"/>
      <c r="M185" s="86"/>
      <c r="N185" s="87"/>
      <c r="O185" s="86"/>
      <c r="P185" s="86"/>
      <c r="Q185" s="87"/>
    </row>
    <row r="186" spans="1:17" ht="45" customHeight="1">
      <c r="A186" s="81">
        <v>27</v>
      </c>
      <c r="B186" s="82"/>
      <c r="C186" s="101" t="s">
        <v>227</v>
      </c>
      <c r="D186" s="101" t="s">
        <v>117</v>
      </c>
      <c r="E186" s="84" t="s">
        <v>207</v>
      </c>
      <c r="F186" s="85"/>
      <c r="G186" s="85"/>
      <c r="H186" s="88"/>
      <c r="I186" s="85"/>
      <c r="J186" s="85"/>
      <c r="K186" s="88"/>
      <c r="L186" s="86"/>
      <c r="M186" s="86"/>
      <c r="N186" s="87"/>
      <c r="O186" s="86"/>
      <c r="P186" s="86"/>
      <c r="Q186" s="87"/>
    </row>
    <row r="187" spans="1:17" ht="14.45" customHeight="1">
      <c r="A187" s="81">
        <v>27</v>
      </c>
      <c r="B187" s="82"/>
      <c r="C187" s="101" t="s">
        <v>227</v>
      </c>
      <c r="D187" s="101" t="s">
        <v>117</v>
      </c>
      <c r="E187" s="84" t="s">
        <v>207</v>
      </c>
      <c r="F187" s="89">
        <v>732</v>
      </c>
      <c r="G187" s="89">
        <v>2531</v>
      </c>
      <c r="H187" s="90">
        <v>776</v>
      </c>
      <c r="I187" s="89">
        <v>948</v>
      </c>
      <c r="J187" s="89">
        <v>1253</v>
      </c>
      <c r="K187" s="90">
        <v>177</v>
      </c>
      <c r="L187" s="86"/>
      <c r="M187" s="86"/>
      <c r="N187" s="87"/>
      <c r="O187" s="86"/>
      <c r="P187" s="86"/>
      <c r="Q187" s="87"/>
    </row>
    <row r="188" spans="1:17" ht="45" customHeight="1">
      <c r="A188" s="81">
        <v>27</v>
      </c>
      <c r="B188" s="82"/>
      <c r="C188" s="101" t="s">
        <v>227</v>
      </c>
      <c r="D188" s="101" t="s">
        <v>117</v>
      </c>
      <c r="E188" s="84" t="s">
        <v>207</v>
      </c>
      <c r="F188" s="85"/>
      <c r="G188" s="85"/>
      <c r="H188" s="88"/>
      <c r="I188" s="85"/>
      <c r="J188" s="85"/>
      <c r="K188" s="88"/>
      <c r="L188" s="86"/>
      <c r="M188" s="86"/>
      <c r="N188" s="87"/>
      <c r="O188" s="86"/>
      <c r="P188" s="86"/>
      <c r="Q188" s="87"/>
    </row>
    <row r="189" spans="1:17" ht="14.45" customHeight="1">
      <c r="A189" s="81">
        <v>27</v>
      </c>
      <c r="B189" s="82"/>
      <c r="C189" s="101" t="s">
        <v>227</v>
      </c>
      <c r="D189" s="101" t="s">
        <v>117</v>
      </c>
      <c r="E189" s="84" t="s">
        <v>207</v>
      </c>
      <c r="F189" s="89">
        <v>614</v>
      </c>
      <c r="G189" s="89">
        <v>495</v>
      </c>
      <c r="H189" s="90">
        <v>10</v>
      </c>
      <c r="I189" s="89">
        <v>40</v>
      </c>
      <c r="J189" s="89">
        <v>10</v>
      </c>
      <c r="K189" s="90">
        <v>10</v>
      </c>
      <c r="L189" s="86"/>
      <c r="M189" s="86"/>
      <c r="N189" s="87"/>
      <c r="O189" s="86"/>
      <c r="P189" s="86"/>
      <c r="Q189" s="87"/>
    </row>
    <row r="190" spans="1:17" ht="24" customHeight="1">
      <c r="A190" s="91">
        <v>27</v>
      </c>
      <c r="B190" s="92"/>
      <c r="C190" s="102" t="s">
        <v>227</v>
      </c>
      <c r="D190" s="102" t="s">
        <v>117</v>
      </c>
      <c r="E190" s="94" t="s">
        <v>207</v>
      </c>
      <c r="F190" s="95" t="s">
        <v>56</v>
      </c>
      <c r="G190" s="96">
        <v>1180000</v>
      </c>
      <c r="H190" s="97">
        <v>1180000</v>
      </c>
      <c r="I190" s="95" t="s">
        <v>56</v>
      </c>
      <c r="J190" s="96">
        <v>1040000</v>
      </c>
      <c r="K190" s="97">
        <v>1040000</v>
      </c>
      <c r="L190" s="98"/>
      <c r="M190" s="98"/>
      <c r="N190" s="99"/>
      <c r="O190" s="98"/>
      <c r="P190" s="98"/>
      <c r="Q190" s="99"/>
    </row>
    <row r="191" spans="1:17" ht="14.45" customHeight="1">
      <c r="A191" s="75">
        <v>28</v>
      </c>
      <c r="B191" s="76"/>
      <c r="C191" s="100" t="s">
        <v>229</v>
      </c>
      <c r="D191" s="100" t="s">
        <v>117</v>
      </c>
      <c r="E191" s="78" t="s">
        <v>207</v>
      </c>
      <c r="F191" s="79" t="s">
        <v>50</v>
      </c>
      <c r="G191" s="79" t="s">
        <v>50</v>
      </c>
      <c r="H191" s="80" t="s">
        <v>50</v>
      </c>
      <c r="I191" s="79" t="s">
        <v>51</v>
      </c>
      <c r="J191" s="79" t="s">
        <v>51</v>
      </c>
      <c r="K191" s="80" t="s">
        <v>51</v>
      </c>
      <c r="L191" s="79"/>
      <c r="M191" s="79"/>
      <c r="N191" s="80"/>
      <c r="O191" s="79"/>
      <c r="P191" s="79"/>
      <c r="Q191" s="80"/>
    </row>
    <row r="192" spans="1:17" ht="60" customHeight="1">
      <c r="A192" s="81">
        <v>28</v>
      </c>
      <c r="B192" s="82"/>
      <c r="C192" s="101" t="s">
        <v>229</v>
      </c>
      <c r="D192" s="101" t="s">
        <v>117</v>
      </c>
      <c r="E192" s="84" t="s">
        <v>207</v>
      </c>
      <c r="F192" s="85"/>
      <c r="G192" s="86" t="s">
        <v>239</v>
      </c>
      <c r="H192" s="87" t="s">
        <v>239</v>
      </c>
      <c r="I192" s="85"/>
      <c r="J192" s="86" t="s">
        <v>239</v>
      </c>
      <c r="K192" s="87" t="s">
        <v>239</v>
      </c>
      <c r="L192" s="86"/>
      <c r="M192" s="86"/>
      <c r="N192" s="87"/>
      <c r="O192" s="86"/>
      <c r="P192" s="86"/>
      <c r="Q192" s="87"/>
    </row>
    <row r="193" spans="1:17" ht="45" customHeight="1">
      <c r="A193" s="81">
        <v>28</v>
      </c>
      <c r="B193" s="82"/>
      <c r="C193" s="101" t="s">
        <v>229</v>
      </c>
      <c r="D193" s="101" t="s">
        <v>117</v>
      </c>
      <c r="E193" s="84" t="s">
        <v>207</v>
      </c>
      <c r="F193" s="85"/>
      <c r="G193" s="85"/>
      <c r="H193" s="88"/>
      <c r="I193" s="85"/>
      <c r="J193" s="85"/>
      <c r="K193" s="88"/>
      <c r="L193" s="86"/>
      <c r="M193" s="86"/>
      <c r="N193" s="87"/>
      <c r="O193" s="86"/>
      <c r="P193" s="86"/>
      <c r="Q193" s="87"/>
    </row>
    <row r="194" spans="1:17" ht="14.45" customHeight="1">
      <c r="A194" s="81">
        <v>28</v>
      </c>
      <c r="B194" s="82"/>
      <c r="C194" s="101" t="s">
        <v>229</v>
      </c>
      <c r="D194" s="101" t="s">
        <v>117</v>
      </c>
      <c r="E194" s="84" t="s">
        <v>207</v>
      </c>
      <c r="F194" s="89">
        <v>1058</v>
      </c>
      <c r="G194" s="89">
        <v>1687</v>
      </c>
      <c r="H194" s="90">
        <v>690</v>
      </c>
      <c r="I194" s="89">
        <v>1423</v>
      </c>
      <c r="J194" s="89">
        <v>836</v>
      </c>
      <c r="K194" s="90">
        <v>266</v>
      </c>
      <c r="L194" s="86"/>
      <c r="M194" s="86"/>
      <c r="N194" s="87"/>
      <c r="O194" s="86"/>
      <c r="P194" s="86"/>
      <c r="Q194" s="87"/>
    </row>
    <row r="195" spans="1:17" ht="45" customHeight="1">
      <c r="A195" s="81">
        <v>28</v>
      </c>
      <c r="B195" s="82"/>
      <c r="C195" s="101" t="s">
        <v>229</v>
      </c>
      <c r="D195" s="101" t="s">
        <v>117</v>
      </c>
      <c r="E195" s="84" t="s">
        <v>207</v>
      </c>
      <c r="F195" s="85"/>
      <c r="G195" s="85"/>
      <c r="H195" s="88"/>
      <c r="I195" s="85"/>
      <c r="J195" s="85"/>
      <c r="K195" s="88"/>
      <c r="L195" s="86"/>
      <c r="M195" s="86"/>
      <c r="N195" s="87"/>
      <c r="O195" s="86"/>
      <c r="P195" s="86"/>
      <c r="Q195" s="87"/>
    </row>
    <row r="196" spans="1:17" ht="14.45" customHeight="1">
      <c r="A196" s="81">
        <v>28</v>
      </c>
      <c r="B196" s="82"/>
      <c r="C196" s="101" t="s">
        <v>229</v>
      </c>
      <c r="D196" s="101" t="s">
        <v>117</v>
      </c>
      <c r="E196" s="84" t="s">
        <v>207</v>
      </c>
      <c r="F196" s="89">
        <v>887</v>
      </c>
      <c r="G196" s="89">
        <v>360</v>
      </c>
      <c r="H196" s="90">
        <v>10</v>
      </c>
      <c r="I196" s="89">
        <v>27</v>
      </c>
      <c r="J196" s="89">
        <v>10</v>
      </c>
      <c r="K196" s="90">
        <v>10</v>
      </c>
      <c r="L196" s="86"/>
      <c r="M196" s="86"/>
      <c r="N196" s="87"/>
      <c r="O196" s="86"/>
      <c r="P196" s="86"/>
      <c r="Q196" s="87"/>
    </row>
    <row r="197" spans="1:17" ht="24" customHeight="1">
      <c r="A197" s="91">
        <v>28</v>
      </c>
      <c r="B197" s="92"/>
      <c r="C197" s="102" t="s">
        <v>229</v>
      </c>
      <c r="D197" s="102" t="s">
        <v>117</v>
      </c>
      <c r="E197" s="94" t="s">
        <v>207</v>
      </c>
      <c r="F197" s="95" t="s">
        <v>56</v>
      </c>
      <c r="G197" s="96">
        <v>1160000</v>
      </c>
      <c r="H197" s="97">
        <v>1160000</v>
      </c>
      <c r="I197" s="95" t="s">
        <v>56</v>
      </c>
      <c r="J197" s="96">
        <v>1040000</v>
      </c>
      <c r="K197" s="97">
        <v>1040000</v>
      </c>
      <c r="L197" s="98"/>
      <c r="M197" s="98"/>
      <c r="N197" s="99"/>
      <c r="O197" s="98"/>
      <c r="P197" s="98"/>
      <c r="Q197" s="99"/>
    </row>
    <row r="198" spans="1:17" ht="14.45" customHeight="1">
      <c r="A198" s="75">
        <v>29</v>
      </c>
      <c r="B198" s="76"/>
      <c r="C198" s="100" t="s">
        <v>232</v>
      </c>
      <c r="D198" s="100" t="s">
        <v>117</v>
      </c>
      <c r="E198" s="78" t="s">
        <v>216</v>
      </c>
      <c r="F198" s="79" t="s">
        <v>50</v>
      </c>
      <c r="G198" s="79" t="s">
        <v>50</v>
      </c>
      <c r="H198" s="80" t="s">
        <v>50</v>
      </c>
      <c r="I198" s="79" t="s">
        <v>51</v>
      </c>
      <c r="J198" s="79" t="s">
        <v>51</v>
      </c>
      <c r="K198" s="80" t="s">
        <v>51</v>
      </c>
      <c r="L198" s="79"/>
      <c r="M198" s="79"/>
      <c r="N198" s="80"/>
      <c r="O198" s="79"/>
      <c r="P198" s="79"/>
      <c r="Q198" s="80"/>
    </row>
    <row r="199" spans="1:17" ht="60" customHeight="1">
      <c r="A199" s="81">
        <v>29</v>
      </c>
      <c r="B199" s="82"/>
      <c r="C199" s="101" t="s">
        <v>232</v>
      </c>
      <c r="D199" s="101" t="s">
        <v>117</v>
      </c>
      <c r="E199" s="84" t="s">
        <v>216</v>
      </c>
      <c r="F199" s="85"/>
      <c r="G199" s="86" t="s">
        <v>240</v>
      </c>
      <c r="H199" s="87" t="s">
        <v>240</v>
      </c>
      <c r="I199" s="85"/>
      <c r="J199" s="86" t="s">
        <v>240</v>
      </c>
      <c r="K199" s="87" t="s">
        <v>240</v>
      </c>
      <c r="L199" s="86"/>
      <c r="M199" s="86"/>
      <c r="N199" s="87"/>
      <c r="O199" s="86"/>
      <c r="P199" s="86"/>
      <c r="Q199" s="87"/>
    </row>
    <row r="200" spans="1:17" ht="45" customHeight="1">
      <c r="A200" s="81">
        <v>29</v>
      </c>
      <c r="B200" s="82"/>
      <c r="C200" s="101" t="s">
        <v>232</v>
      </c>
      <c r="D200" s="101" t="s">
        <v>117</v>
      </c>
      <c r="E200" s="84" t="s">
        <v>216</v>
      </c>
      <c r="F200" s="85"/>
      <c r="G200" s="85"/>
      <c r="H200" s="88"/>
      <c r="I200" s="85"/>
      <c r="J200" s="85"/>
      <c r="K200" s="88"/>
      <c r="L200" s="86"/>
      <c r="M200" s="86"/>
      <c r="N200" s="87"/>
      <c r="O200" s="86"/>
      <c r="P200" s="86"/>
      <c r="Q200" s="87"/>
    </row>
    <row r="201" spans="1:17" ht="14.45" customHeight="1">
      <c r="A201" s="81">
        <v>29</v>
      </c>
      <c r="B201" s="82"/>
      <c r="C201" s="101" t="s">
        <v>232</v>
      </c>
      <c r="D201" s="101" t="s">
        <v>117</v>
      </c>
      <c r="E201" s="84" t="s">
        <v>216</v>
      </c>
      <c r="F201" s="89">
        <v>1058</v>
      </c>
      <c r="G201" s="89">
        <v>1055</v>
      </c>
      <c r="H201" s="90">
        <v>1120</v>
      </c>
      <c r="I201" s="89">
        <v>948</v>
      </c>
      <c r="J201" s="89">
        <v>1253</v>
      </c>
      <c r="K201" s="90">
        <v>177</v>
      </c>
      <c r="L201" s="86"/>
      <c r="M201" s="86"/>
      <c r="N201" s="87"/>
      <c r="O201" s="86"/>
      <c r="P201" s="86"/>
      <c r="Q201" s="87"/>
    </row>
    <row r="202" spans="1:17" ht="45" customHeight="1">
      <c r="A202" s="81">
        <v>29</v>
      </c>
      <c r="B202" s="82"/>
      <c r="C202" s="101" t="s">
        <v>232</v>
      </c>
      <c r="D202" s="101" t="s">
        <v>117</v>
      </c>
      <c r="E202" s="84" t="s">
        <v>216</v>
      </c>
      <c r="F202" s="85"/>
      <c r="G202" s="85"/>
      <c r="H202" s="88"/>
      <c r="I202" s="85"/>
      <c r="J202" s="85"/>
      <c r="K202" s="88"/>
      <c r="L202" s="86"/>
      <c r="M202" s="86"/>
      <c r="N202" s="87"/>
      <c r="O202" s="86"/>
      <c r="P202" s="86"/>
      <c r="Q202" s="87"/>
    </row>
    <row r="203" spans="1:17" ht="14.45" customHeight="1">
      <c r="A203" s="81">
        <v>29</v>
      </c>
      <c r="B203" s="82"/>
      <c r="C203" s="101" t="s">
        <v>232</v>
      </c>
      <c r="D203" s="101" t="s">
        <v>117</v>
      </c>
      <c r="E203" s="84" t="s">
        <v>216</v>
      </c>
      <c r="F203" s="89">
        <v>1297</v>
      </c>
      <c r="G203" s="89">
        <v>10</v>
      </c>
      <c r="H203" s="88"/>
      <c r="I203" s="89">
        <v>40</v>
      </c>
      <c r="J203" s="89">
        <v>7</v>
      </c>
      <c r="K203" s="90">
        <v>10</v>
      </c>
      <c r="L203" s="86"/>
      <c r="M203" s="86"/>
      <c r="N203" s="87"/>
      <c r="O203" s="86"/>
      <c r="P203" s="86"/>
      <c r="Q203" s="87"/>
    </row>
    <row r="204" spans="1:17" ht="24" customHeight="1">
      <c r="A204" s="91">
        <v>29</v>
      </c>
      <c r="B204" s="92"/>
      <c r="C204" s="102" t="s">
        <v>232</v>
      </c>
      <c r="D204" s="102" t="s">
        <v>117</v>
      </c>
      <c r="E204" s="94" t="s">
        <v>216</v>
      </c>
      <c r="F204" s="95" t="s">
        <v>56</v>
      </c>
      <c r="G204" s="96">
        <v>1150000</v>
      </c>
      <c r="H204" s="97">
        <v>1150000</v>
      </c>
      <c r="I204" s="95" t="s">
        <v>56</v>
      </c>
      <c r="J204" s="96">
        <v>1030000</v>
      </c>
      <c r="K204" s="97">
        <v>1030000</v>
      </c>
      <c r="L204" s="98"/>
      <c r="M204" s="98"/>
      <c r="N204" s="99"/>
      <c r="O204" s="98"/>
      <c r="P204" s="98"/>
      <c r="Q204" s="99"/>
    </row>
    <row r="205" spans="1:17" ht="14.45" customHeight="1">
      <c r="A205" s="75">
        <v>30</v>
      </c>
      <c r="B205" s="76"/>
      <c r="C205" s="100" t="s">
        <v>231</v>
      </c>
      <c r="D205" s="100" t="s">
        <v>117</v>
      </c>
      <c r="E205" s="78" t="s">
        <v>216</v>
      </c>
      <c r="F205" s="79" t="s">
        <v>50</v>
      </c>
      <c r="G205" s="79" t="s">
        <v>50</v>
      </c>
      <c r="H205" s="80" t="s">
        <v>50</v>
      </c>
      <c r="I205" s="79" t="s">
        <v>51</v>
      </c>
      <c r="J205" s="79" t="s">
        <v>51</v>
      </c>
      <c r="K205" s="80" t="s">
        <v>51</v>
      </c>
      <c r="L205" s="79"/>
      <c r="M205" s="79"/>
      <c r="N205" s="80"/>
      <c r="O205" s="79"/>
      <c r="P205" s="79"/>
      <c r="Q205" s="80"/>
    </row>
    <row r="206" spans="1:17" ht="60" customHeight="1">
      <c r="A206" s="81">
        <v>30</v>
      </c>
      <c r="B206" s="82"/>
      <c r="C206" s="101" t="s">
        <v>231</v>
      </c>
      <c r="D206" s="101" t="s">
        <v>117</v>
      </c>
      <c r="E206" s="84" t="s">
        <v>216</v>
      </c>
      <c r="F206" s="85"/>
      <c r="G206" s="86" t="s">
        <v>240</v>
      </c>
      <c r="H206" s="87" t="s">
        <v>240</v>
      </c>
      <c r="I206" s="85"/>
      <c r="J206" s="86" t="s">
        <v>240</v>
      </c>
      <c r="K206" s="87" t="s">
        <v>240</v>
      </c>
      <c r="L206" s="86"/>
      <c r="M206" s="86"/>
      <c r="N206" s="87"/>
      <c r="O206" s="86"/>
      <c r="P206" s="86"/>
      <c r="Q206" s="87"/>
    </row>
    <row r="207" spans="1:17" ht="45" customHeight="1">
      <c r="A207" s="81">
        <v>30</v>
      </c>
      <c r="B207" s="82"/>
      <c r="C207" s="101" t="s">
        <v>231</v>
      </c>
      <c r="D207" s="101" t="s">
        <v>117</v>
      </c>
      <c r="E207" s="84" t="s">
        <v>216</v>
      </c>
      <c r="F207" s="85"/>
      <c r="G207" s="85"/>
      <c r="H207" s="88"/>
      <c r="I207" s="85"/>
      <c r="J207" s="85"/>
      <c r="K207" s="88"/>
      <c r="L207" s="86"/>
      <c r="M207" s="86"/>
      <c r="N207" s="87"/>
      <c r="O207" s="86"/>
      <c r="P207" s="86"/>
      <c r="Q207" s="87"/>
    </row>
    <row r="208" spans="1:17" ht="14.45" customHeight="1">
      <c r="A208" s="81">
        <v>30</v>
      </c>
      <c r="B208" s="82"/>
      <c r="C208" s="101" t="s">
        <v>231</v>
      </c>
      <c r="D208" s="101" t="s">
        <v>117</v>
      </c>
      <c r="E208" s="84" t="s">
        <v>216</v>
      </c>
      <c r="F208" s="89">
        <v>1058</v>
      </c>
      <c r="G208" s="89">
        <v>1055</v>
      </c>
      <c r="H208" s="90">
        <v>1120</v>
      </c>
      <c r="I208" s="89">
        <v>948</v>
      </c>
      <c r="J208" s="89">
        <v>1253</v>
      </c>
      <c r="K208" s="90">
        <v>177</v>
      </c>
      <c r="L208" s="86"/>
      <c r="M208" s="86"/>
      <c r="N208" s="87"/>
      <c r="O208" s="86"/>
      <c r="P208" s="86"/>
      <c r="Q208" s="87"/>
    </row>
    <row r="209" spans="1:17" ht="45" customHeight="1">
      <c r="A209" s="81">
        <v>30</v>
      </c>
      <c r="B209" s="82"/>
      <c r="C209" s="101" t="s">
        <v>231</v>
      </c>
      <c r="D209" s="101" t="s">
        <v>117</v>
      </c>
      <c r="E209" s="84" t="s">
        <v>216</v>
      </c>
      <c r="F209" s="85"/>
      <c r="G209" s="85"/>
      <c r="H209" s="88"/>
      <c r="I209" s="85"/>
      <c r="J209" s="85"/>
      <c r="K209" s="88"/>
      <c r="L209" s="86"/>
      <c r="M209" s="86"/>
      <c r="N209" s="87"/>
      <c r="O209" s="86"/>
      <c r="P209" s="86"/>
      <c r="Q209" s="87"/>
    </row>
    <row r="210" spans="1:17" ht="14.45" customHeight="1">
      <c r="A210" s="81">
        <v>30</v>
      </c>
      <c r="B210" s="82"/>
      <c r="C210" s="101" t="s">
        <v>231</v>
      </c>
      <c r="D210" s="101" t="s">
        <v>117</v>
      </c>
      <c r="E210" s="84" t="s">
        <v>216</v>
      </c>
      <c r="F210" s="89">
        <v>1297</v>
      </c>
      <c r="G210" s="89">
        <v>10</v>
      </c>
      <c r="H210" s="88"/>
      <c r="I210" s="89">
        <v>40</v>
      </c>
      <c r="J210" s="89">
        <v>7</v>
      </c>
      <c r="K210" s="90">
        <v>10</v>
      </c>
      <c r="L210" s="86"/>
      <c r="M210" s="86"/>
      <c r="N210" s="87"/>
      <c r="O210" s="86"/>
      <c r="P210" s="86"/>
      <c r="Q210" s="87"/>
    </row>
    <row r="211" spans="1:17" ht="24" customHeight="1">
      <c r="A211" s="91">
        <v>30</v>
      </c>
      <c r="B211" s="92"/>
      <c r="C211" s="102" t="s">
        <v>231</v>
      </c>
      <c r="D211" s="102" t="s">
        <v>117</v>
      </c>
      <c r="E211" s="94" t="s">
        <v>216</v>
      </c>
      <c r="F211" s="95" t="s">
        <v>56</v>
      </c>
      <c r="G211" s="96">
        <v>1150000</v>
      </c>
      <c r="H211" s="97">
        <v>1150000</v>
      </c>
      <c r="I211" s="95" t="s">
        <v>56</v>
      </c>
      <c r="J211" s="96">
        <v>1030000</v>
      </c>
      <c r="K211" s="97">
        <v>1030000</v>
      </c>
      <c r="L211" s="98"/>
      <c r="M211" s="98"/>
      <c r="N211" s="99"/>
      <c r="O211" s="98"/>
      <c r="P211" s="98"/>
      <c r="Q211" s="99"/>
    </row>
    <row r="212" spans="1:17" ht="14.45" customHeight="1">
      <c r="A212" s="75">
        <v>31</v>
      </c>
      <c r="B212" s="76"/>
      <c r="C212" s="100" t="s">
        <v>234</v>
      </c>
      <c r="D212" s="100" t="s">
        <v>117</v>
      </c>
      <c r="E212" s="78" t="s">
        <v>202</v>
      </c>
      <c r="F212" s="79" t="s">
        <v>50</v>
      </c>
      <c r="G212" s="79" t="s">
        <v>50</v>
      </c>
      <c r="H212" s="80" t="s">
        <v>50</v>
      </c>
      <c r="I212" s="79" t="s">
        <v>51</v>
      </c>
      <c r="J212" s="79" t="s">
        <v>51</v>
      </c>
      <c r="K212" s="80" t="s">
        <v>51</v>
      </c>
      <c r="L212" s="79"/>
      <c r="M212" s="79"/>
      <c r="N212" s="80"/>
      <c r="O212" s="79"/>
      <c r="P212" s="79"/>
      <c r="Q212" s="80"/>
    </row>
    <row r="213" spans="1:17" ht="60" customHeight="1">
      <c r="A213" s="81">
        <v>31</v>
      </c>
      <c r="B213" s="82"/>
      <c r="C213" s="101" t="s">
        <v>234</v>
      </c>
      <c r="D213" s="101" t="s">
        <v>117</v>
      </c>
      <c r="E213" s="84" t="s">
        <v>202</v>
      </c>
      <c r="F213" s="85"/>
      <c r="G213" s="86" t="s">
        <v>241</v>
      </c>
      <c r="H213" s="87" t="s">
        <v>241</v>
      </c>
      <c r="I213" s="85"/>
      <c r="J213" s="86" t="s">
        <v>241</v>
      </c>
      <c r="K213" s="87" t="s">
        <v>241</v>
      </c>
      <c r="L213" s="86"/>
      <c r="M213" s="86"/>
      <c r="N213" s="87"/>
      <c r="O213" s="86"/>
      <c r="P213" s="86"/>
      <c r="Q213" s="87"/>
    </row>
    <row r="214" spans="1:17" ht="45" customHeight="1">
      <c r="A214" s="81">
        <v>31</v>
      </c>
      <c r="B214" s="82"/>
      <c r="C214" s="101" t="s">
        <v>234</v>
      </c>
      <c r="D214" s="101" t="s">
        <v>117</v>
      </c>
      <c r="E214" s="84" t="s">
        <v>202</v>
      </c>
      <c r="F214" s="85"/>
      <c r="G214" s="85"/>
      <c r="H214" s="88"/>
      <c r="I214" s="85"/>
      <c r="J214" s="85"/>
      <c r="K214" s="88"/>
      <c r="L214" s="86"/>
      <c r="M214" s="86"/>
      <c r="N214" s="87"/>
      <c r="O214" s="86"/>
      <c r="P214" s="86"/>
      <c r="Q214" s="87"/>
    </row>
    <row r="215" spans="1:17" ht="14.45" customHeight="1">
      <c r="A215" s="81">
        <v>31</v>
      </c>
      <c r="B215" s="82"/>
      <c r="C215" s="101" t="s">
        <v>234</v>
      </c>
      <c r="D215" s="101" t="s">
        <v>117</v>
      </c>
      <c r="E215" s="84" t="s">
        <v>202</v>
      </c>
      <c r="F215" s="89">
        <v>1587</v>
      </c>
      <c r="G215" s="89">
        <v>2004</v>
      </c>
      <c r="H215" s="90">
        <v>991</v>
      </c>
      <c r="I215" s="89">
        <v>2371</v>
      </c>
      <c r="J215" s="89">
        <v>1045</v>
      </c>
      <c r="K215" s="90">
        <v>222</v>
      </c>
      <c r="L215" s="86"/>
      <c r="M215" s="86"/>
      <c r="N215" s="87"/>
      <c r="O215" s="86"/>
      <c r="P215" s="86"/>
      <c r="Q215" s="87"/>
    </row>
    <row r="216" spans="1:17" ht="45" customHeight="1">
      <c r="A216" s="81">
        <v>31</v>
      </c>
      <c r="B216" s="82"/>
      <c r="C216" s="101" t="s">
        <v>234</v>
      </c>
      <c r="D216" s="101" t="s">
        <v>117</v>
      </c>
      <c r="E216" s="84" t="s">
        <v>202</v>
      </c>
      <c r="F216" s="85"/>
      <c r="G216" s="85"/>
      <c r="H216" s="88"/>
      <c r="I216" s="85"/>
      <c r="J216" s="85"/>
      <c r="K216" s="88"/>
      <c r="L216" s="86"/>
      <c r="M216" s="86"/>
      <c r="N216" s="87"/>
      <c r="O216" s="86"/>
      <c r="P216" s="86"/>
      <c r="Q216" s="87"/>
    </row>
    <row r="217" spans="1:17" ht="14.45" customHeight="1">
      <c r="A217" s="81">
        <v>31</v>
      </c>
      <c r="B217" s="82"/>
      <c r="C217" s="101" t="s">
        <v>234</v>
      </c>
      <c r="D217" s="101" t="s">
        <v>117</v>
      </c>
      <c r="E217" s="84" t="s">
        <v>202</v>
      </c>
      <c r="F217" s="89">
        <v>649</v>
      </c>
      <c r="G217" s="89">
        <v>10</v>
      </c>
      <c r="H217" s="88"/>
      <c r="I217" s="89">
        <v>14</v>
      </c>
      <c r="J217" s="89">
        <v>10</v>
      </c>
      <c r="K217" s="88"/>
      <c r="L217" s="86"/>
      <c r="M217" s="86"/>
      <c r="N217" s="87"/>
      <c r="O217" s="86"/>
      <c r="P217" s="86"/>
      <c r="Q217" s="87"/>
    </row>
    <row r="218" spans="1:17" ht="24" customHeight="1">
      <c r="A218" s="91">
        <v>31</v>
      </c>
      <c r="B218" s="92"/>
      <c r="C218" s="102" t="s">
        <v>234</v>
      </c>
      <c r="D218" s="102" t="s">
        <v>117</v>
      </c>
      <c r="E218" s="94" t="s">
        <v>202</v>
      </c>
      <c r="F218" s="95" t="s">
        <v>56</v>
      </c>
      <c r="G218" s="96">
        <v>1130000</v>
      </c>
      <c r="H218" s="97">
        <v>1130000</v>
      </c>
      <c r="I218" s="95" t="s">
        <v>56</v>
      </c>
      <c r="J218" s="96">
        <v>1390000</v>
      </c>
      <c r="K218" s="97">
        <v>1390000</v>
      </c>
      <c r="L218" s="98"/>
      <c r="M218" s="98"/>
      <c r="N218" s="99"/>
      <c r="O218" s="98"/>
      <c r="P218" s="98"/>
      <c r="Q218" s="99"/>
    </row>
    <row r="219" spans="1:17" ht="14.45" customHeight="1">
      <c r="A219" s="75">
        <v>32</v>
      </c>
      <c r="B219" s="76"/>
      <c r="C219" s="100" t="s">
        <v>241</v>
      </c>
      <c r="D219" s="100" t="s">
        <v>117</v>
      </c>
      <c r="E219" s="78" t="s">
        <v>202</v>
      </c>
      <c r="F219" s="79" t="s">
        <v>50</v>
      </c>
      <c r="G219" s="79" t="s">
        <v>50</v>
      </c>
      <c r="H219" s="80" t="s">
        <v>50</v>
      </c>
      <c r="I219" s="79"/>
      <c r="J219" s="79"/>
      <c r="K219" s="80"/>
      <c r="L219" s="79"/>
      <c r="M219" s="79"/>
      <c r="N219" s="80"/>
      <c r="O219" s="79"/>
      <c r="P219" s="79"/>
      <c r="Q219" s="80"/>
    </row>
    <row r="220" spans="1:17" ht="60" customHeight="1">
      <c r="A220" s="81">
        <v>32</v>
      </c>
      <c r="B220" s="82"/>
      <c r="C220" s="101" t="s">
        <v>241</v>
      </c>
      <c r="D220" s="101" t="s">
        <v>117</v>
      </c>
      <c r="E220" s="84" t="s">
        <v>202</v>
      </c>
      <c r="F220" s="85"/>
      <c r="G220" s="86" t="s">
        <v>242</v>
      </c>
      <c r="H220" s="87" t="s">
        <v>242</v>
      </c>
      <c r="I220" s="86"/>
      <c r="J220" s="86"/>
      <c r="K220" s="87"/>
      <c r="L220" s="86"/>
      <c r="M220" s="86"/>
      <c r="N220" s="87"/>
      <c r="O220" s="86"/>
      <c r="P220" s="86"/>
      <c r="Q220" s="87"/>
    </row>
    <row r="221" spans="1:17" ht="45" customHeight="1">
      <c r="A221" s="81">
        <v>32</v>
      </c>
      <c r="B221" s="82"/>
      <c r="C221" s="101" t="s">
        <v>241</v>
      </c>
      <c r="D221" s="101" t="s">
        <v>117</v>
      </c>
      <c r="E221" s="84" t="s">
        <v>202</v>
      </c>
      <c r="F221" s="85"/>
      <c r="G221" s="85"/>
      <c r="H221" s="88"/>
      <c r="I221" s="86"/>
      <c r="J221" s="86"/>
      <c r="K221" s="87"/>
      <c r="L221" s="86"/>
      <c r="M221" s="86"/>
      <c r="N221" s="87"/>
      <c r="O221" s="86"/>
      <c r="P221" s="86"/>
      <c r="Q221" s="87"/>
    </row>
    <row r="222" spans="1:17" ht="14.45" customHeight="1">
      <c r="A222" s="81">
        <v>32</v>
      </c>
      <c r="B222" s="82"/>
      <c r="C222" s="101" t="s">
        <v>241</v>
      </c>
      <c r="D222" s="101" t="s">
        <v>117</v>
      </c>
      <c r="E222" s="84" t="s">
        <v>202</v>
      </c>
      <c r="F222" s="89">
        <v>1788</v>
      </c>
      <c r="G222" s="89">
        <v>593</v>
      </c>
      <c r="H222" s="90">
        <v>443</v>
      </c>
      <c r="I222" s="86"/>
      <c r="J222" s="86"/>
      <c r="K222" s="87"/>
      <c r="L222" s="86"/>
      <c r="M222" s="86"/>
      <c r="N222" s="87"/>
      <c r="O222" s="86"/>
      <c r="P222" s="86"/>
      <c r="Q222" s="87"/>
    </row>
    <row r="223" spans="1:17" ht="45" customHeight="1">
      <c r="A223" s="81">
        <v>32</v>
      </c>
      <c r="B223" s="82"/>
      <c r="C223" s="101" t="s">
        <v>241</v>
      </c>
      <c r="D223" s="101" t="s">
        <v>117</v>
      </c>
      <c r="E223" s="84" t="s">
        <v>202</v>
      </c>
      <c r="F223" s="85"/>
      <c r="G223" s="85"/>
      <c r="H223" s="88"/>
      <c r="I223" s="86"/>
      <c r="J223" s="86"/>
      <c r="K223" s="87"/>
      <c r="L223" s="86"/>
      <c r="M223" s="86"/>
      <c r="N223" s="87"/>
      <c r="O223" s="86"/>
      <c r="P223" s="86"/>
      <c r="Q223" s="87"/>
    </row>
    <row r="224" spans="1:17" ht="14.45" customHeight="1">
      <c r="A224" s="81">
        <v>32</v>
      </c>
      <c r="B224" s="82"/>
      <c r="C224" s="101" t="s">
        <v>241</v>
      </c>
      <c r="D224" s="101" t="s">
        <v>117</v>
      </c>
      <c r="E224" s="84" t="s">
        <v>202</v>
      </c>
      <c r="F224" s="89">
        <v>126</v>
      </c>
      <c r="G224" s="85"/>
      <c r="H224" s="88"/>
      <c r="I224" s="86"/>
      <c r="J224" s="86"/>
      <c r="K224" s="87"/>
      <c r="L224" s="86"/>
      <c r="M224" s="86"/>
      <c r="N224" s="87"/>
      <c r="O224" s="86"/>
      <c r="P224" s="86"/>
      <c r="Q224" s="87"/>
    </row>
    <row r="225" spans="1:17" ht="24" customHeight="1">
      <c r="A225" s="91">
        <v>32</v>
      </c>
      <c r="B225" s="92"/>
      <c r="C225" s="102" t="s">
        <v>241</v>
      </c>
      <c r="D225" s="102" t="s">
        <v>117</v>
      </c>
      <c r="E225" s="94" t="s">
        <v>202</v>
      </c>
      <c r="F225" s="95" t="s">
        <v>56</v>
      </c>
      <c r="G225" s="96">
        <v>370000</v>
      </c>
      <c r="H225" s="97">
        <v>370000</v>
      </c>
      <c r="I225" s="98"/>
      <c r="J225" s="98"/>
      <c r="K225" s="99"/>
      <c r="L225" s="98"/>
      <c r="M225" s="98"/>
      <c r="N225" s="99"/>
      <c r="O225" s="98"/>
      <c r="P225" s="98"/>
      <c r="Q225" s="99"/>
    </row>
    <row r="226" spans="1:17" ht="14.45" customHeight="1">
      <c r="A226" s="75">
        <v>33</v>
      </c>
      <c r="B226" s="76"/>
      <c r="C226" s="100" t="s">
        <v>239</v>
      </c>
      <c r="D226" s="100" t="s">
        <v>117</v>
      </c>
      <c r="E226" s="78" t="s">
        <v>207</v>
      </c>
      <c r="F226" s="79" t="s">
        <v>50</v>
      </c>
      <c r="G226" s="79" t="s">
        <v>50</v>
      </c>
      <c r="H226" s="80" t="s">
        <v>50</v>
      </c>
      <c r="I226" s="79"/>
      <c r="J226" s="79"/>
      <c r="K226" s="80"/>
      <c r="L226" s="79"/>
      <c r="M226" s="79"/>
      <c r="N226" s="80"/>
      <c r="O226" s="79"/>
      <c r="P226" s="79"/>
      <c r="Q226" s="80"/>
    </row>
    <row r="227" spans="1:17" ht="60" customHeight="1">
      <c r="A227" s="81">
        <v>33</v>
      </c>
      <c r="B227" s="82"/>
      <c r="C227" s="101" t="s">
        <v>239</v>
      </c>
      <c r="D227" s="101" t="s">
        <v>117</v>
      </c>
      <c r="E227" s="84" t="s">
        <v>207</v>
      </c>
      <c r="F227" s="85"/>
      <c r="G227" s="86" t="s">
        <v>243</v>
      </c>
      <c r="H227" s="87" t="s">
        <v>243</v>
      </c>
      <c r="I227" s="86"/>
      <c r="J227" s="86"/>
      <c r="K227" s="87"/>
      <c r="L227" s="86"/>
      <c r="M227" s="86"/>
      <c r="N227" s="87"/>
      <c r="O227" s="86"/>
      <c r="P227" s="86"/>
      <c r="Q227" s="87"/>
    </row>
    <row r="228" spans="1:17" ht="45" customHeight="1">
      <c r="A228" s="81">
        <v>33</v>
      </c>
      <c r="B228" s="82"/>
      <c r="C228" s="101" t="s">
        <v>239</v>
      </c>
      <c r="D228" s="101" t="s">
        <v>117</v>
      </c>
      <c r="E228" s="84" t="s">
        <v>207</v>
      </c>
      <c r="F228" s="85"/>
      <c r="G228" s="85"/>
      <c r="H228" s="88"/>
      <c r="I228" s="86"/>
      <c r="J228" s="86"/>
      <c r="K228" s="87"/>
      <c r="L228" s="86"/>
      <c r="M228" s="86"/>
      <c r="N228" s="87"/>
      <c r="O228" s="86"/>
      <c r="P228" s="86"/>
      <c r="Q228" s="87"/>
    </row>
    <row r="229" spans="1:17" ht="14.45" customHeight="1">
      <c r="A229" s="81">
        <v>33</v>
      </c>
      <c r="B229" s="82"/>
      <c r="C229" s="101" t="s">
        <v>239</v>
      </c>
      <c r="D229" s="101" t="s">
        <v>117</v>
      </c>
      <c r="E229" s="84" t="s">
        <v>207</v>
      </c>
      <c r="F229" s="89">
        <v>1376</v>
      </c>
      <c r="G229" s="89">
        <v>624</v>
      </c>
      <c r="H229" s="90">
        <v>385</v>
      </c>
      <c r="I229" s="86"/>
      <c r="J229" s="86"/>
      <c r="K229" s="87"/>
      <c r="L229" s="86"/>
      <c r="M229" s="86"/>
      <c r="N229" s="87"/>
      <c r="O229" s="86"/>
      <c r="P229" s="86"/>
      <c r="Q229" s="87"/>
    </row>
    <row r="230" spans="1:17" ht="45" customHeight="1">
      <c r="A230" s="81">
        <v>33</v>
      </c>
      <c r="B230" s="82"/>
      <c r="C230" s="101" t="s">
        <v>239</v>
      </c>
      <c r="D230" s="101" t="s">
        <v>117</v>
      </c>
      <c r="E230" s="84" t="s">
        <v>207</v>
      </c>
      <c r="F230" s="85"/>
      <c r="G230" s="85"/>
      <c r="H230" s="88"/>
      <c r="I230" s="86"/>
      <c r="J230" s="86"/>
      <c r="K230" s="87"/>
      <c r="L230" s="86"/>
      <c r="M230" s="86"/>
      <c r="N230" s="87"/>
      <c r="O230" s="86"/>
      <c r="P230" s="86"/>
      <c r="Q230" s="87"/>
    </row>
    <row r="231" spans="1:17" ht="14.45" customHeight="1">
      <c r="A231" s="81">
        <v>33</v>
      </c>
      <c r="B231" s="82"/>
      <c r="C231" s="101" t="s">
        <v>239</v>
      </c>
      <c r="D231" s="101" t="s">
        <v>117</v>
      </c>
      <c r="E231" s="84" t="s">
        <v>207</v>
      </c>
      <c r="F231" s="89">
        <v>199</v>
      </c>
      <c r="G231" s="85"/>
      <c r="H231" s="88"/>
      <c r="I231" s="86"/>
      <c r="J231" s="86"/>
      <c r="K231" s="87"/>
      <c r="L231" s="86"/>
      <c r="M231" s="86"/>
      <c r="N231" s="87"/>
      <c r="O231" s="86"/>
      <c r="P231" s="86"/>
      <c r="Q231" s="87"/>
    </row>
    <row r="232" spans="1:17" ht="24" customHeight="1">
      <c r="A232" s="91">
        <v>33</v>
      </c>
      <c r="B232" s="92"/>
      <c r="C232" s="102" t="s">
        <v>239</v>
      </c>
      <c r="D232" s="102" t="s">
        <v>117</v>
      </c>
      <c r="E232" s="94" t="s">
        <v>207</v>
      </c>
      <c r="F232" s="95" t="s">
        <v>56</v>
      </c>
      <c r="G232" s="96">
        <v>341000</v>
      </c>
      <c r="H232" s="97">
        <v>341000</v>
      </c>
      <c r="I232" s="98"/>
      <c r="J232" s="98"/>
      <c r="K232" s="99"/>
      <c r="L232" s="98"/>
      <c r="M232" s="98"/>
      <c r="N232" s="99"/>
      <c r="O232" s="98"/>
      <c r="P232" s="98"/>
      <c r="Q232" s="99"/>
    </row>
    <row r="233" spans="1:17" ht="14.45" customHeight="1">
      <c r="A233" s="75">
        <v>34</v>
      </c>
      <c r="B233" s="76"/>
      <c r="C233" s="100" t="s">
        <v>237</v>
      </c>
      <c r="D233" s="100" t="s">
        <v>117</v>
      </c>
      <c r="E233" s="78" t="s">
        <v>202</v>
      </c>
      <c r="F233" s="79" t="s">
        <v>50</v>
      </c>
      <c r="G233" s="79" t="s">
        <v>50</v>
      </c>
      <c r="H233" s="80" t="s">
        <v>50</v>
      </c>
      <c r="I233" s="79"/>
      <c r="J233" s="79"/>
      <c r="K233" s="80"/>
      <c r="L233" s="79"/>
      <c r="M233" s="79"/>
      <c r="N233" s="80"/>
      <c r="O233" s="79"/>
      <c r="P233" s="79"/>
      <c r="Q233" s="80"/>
    </row>
    <row r="234" spans="1:17" ht="60" customHeight="1">
      <c r="A234" s="81">
        <v>34</v>
      </c>
      <c r="B234" s="82"/>
      <c r="C234" s="101" t="s">
        <v>237</v>
      </c>
      <c r="D234" s="101" t="s">
        <v>117</v>
      </c>
      <c r="E234" s="84" t="s">
        <v>202</v>
      </c>
      <c r="F234" s="85"/>
      <c r="G234" s="86" t="s">
        <v>244</v>
      </c>
      <c r="H234" s="87" t="s">
        <v>244</v>
      </c>
      <c r="I234" s="86"/>
      <c r="J234" s="86"/>
      <c r="K234" s="87"/>
      <c r="L234" s="86"/>
      <c r="M234" s="86"/>
      <c r="N234" s="87"/>
      <c r="O234" s="86"/>
      <c r="P234" s="86"/>
      <c r="Q234" s="87"/>
    </row>
    <row r="235" spans="1:17" ht="45" customHeight="1">
      <c r="A235" s="81">
        <v>34</v>
      </c>
      <c r="B235" s="82"/>
      <c r="C235" s="101" t="s">
        <v>237</v>
      </c>
      <c r="D235" s="101" t="s">
        <v>117</v>
      </c>
      <c r="E235" s="84" t="s">
        <v>202</v>
      </c>
      <c r="F235" s="85"/>
      <c r="G235" s="85"/>
      <c r="H235" s="88"/>
      <c r="I235" s="86"/>
      <c r="J235" s="86"/>
      <c r="K235" s="87"/>
      <c r="L235" s="86"/>
      <c r="M235" s="86"/>
      <c r="N235" s="87"/>
      <c r="O235" s="86"/>
      <c r="P235" s="86"/>
      <c r="Q235" s="87"/>
    </row>
    <row r="236" spans="1:17" ht="14.45" customHeight="1">
      <c r="A236" s="81">
        <v>34</v>
      </c>
      <c r="B236" s="82"/>
      <c r="C236" s="101" t="s">
        <v>237</v>
      </c>
      <c r="D236" s="101" t="s">
        <v>117</v>
      </c>
      <c r="E236" s="84" t="s">
        <v>202</v>
      </c>
      <c r="F236" s="89">
        <v>1146</v>
      </c>
      <c r="G236" s="89">
        <v>780</v>
      </c>
      <c r="H236" s="90">
        <v>481</v>
      </c>
      <c r="I236" s="86"/>
      <c r="J236" s="86"/>
      <c r="K236" s="87"/>
      <c r="L236" s="86"/>
      <c r="M236" s="86"/>
      <c r="N236" s="87"/>
      <c r="O236" s="86"/>
      <c r="P236" s="86"/>
      <c r="Q236" s="87"/>
    </row>
    <row r="237" spans="1:17" ht="45" customHeight="1">
      <c r="A237" s="81">
        <v>34</v>
      </c>
      <c r="B237" s="82"/>
      <c r="C237" s="101" t="s">
        <v>237</v>
      </c>
      <c r="D237" s="101" t="s">
        <v>117</v>
      </c>
      <c r="E237" s="84" t="s">
        <v>202</v>
      </c>
      <c r="F237" s="85"/>
      <c r="G237" s="85"/>
      <c r="H237" s="88"/>
      <c r="I237" s="86"/>
      <c r="J237" s="86"/>
      <c r="K237" s="87"/>
      <c r="L237" s="86"/>
      <c r="M237" s="86"/>
      <c r="N237" s="87"/>
      <c r="O237" s="86"/>
      <c r="P237" s="86"/>
      <c r="Q237" s="87"/>
    </row>
    <row r="238" spans="1:17" ht="14.45" customHeight="1">
      <c r="A238" s="81">
        <v>34</v>
      </c>
      <c r="B238" s="82"/>
      <c r="C238" s="101" t="s">
        <v>237</v>
      </c>
      <c r="D238" s="101" t="s">
        <v>117</v>
      </c>
      <c r="E238" s="84" t="s">
        <v>202</v>
      </c>
      <c r="F238" s="89">
        <v>166</v>
      </c>
      <c r="G238" s="85"/>
      <c r="H238" s="88"/>
      <c r="I238" s="86"/>
      <c r="J238" s="86"/>
      <c r="K238" s="87"/>
      <c r="L238" s="86"/>
      <c r="M238" s="86"/>
      <c r="N238" s="87"/>
      <c r="O238" s="86"/>
      <c r="P238" s="86"/>
      <c r="Q238" s="87"/>
    </row>
    <row r="239" spans="1:17" ht="24" customHeight="1">
      <c r="A239" s="91">
        <v>34</v>
      </c>
      <c r="B239" s="92"/>
      <c r="C239" s="102" t="s">
        <v>237</v>
      </c>
      <c r="D239" s="102" t="s">
        <v>117</v>
      </c>
      <c r="E239" s="94" t="s">
        <v>202</v>
      </c>
      <c r="F239" s="95" t="s">
        <v>56</v>
      </c>
      <c r="G239" s="96">
        <v>330000</v>
      </c>
      <c r="H239" s="97">
        <v>330000</v>
      </c>
      <c r="I239" s="98"/>
      <c r="J239" s="98"/>
      <c r="K239" s="99"/>
      <c r="L239" s="98"/>
      <c r="M239" s="98"/>
      <c r="N239" s="99"/>
      <c r="O239" s="98"/>
      <c r="P239" s="98"/>
      <c r="Q239" s="99"/>
    </row>
    <row r="240" spans="1:17" ht="14.45" customHeight="1">
      <c r="A240" s="75">
        <v>35</v>
      </c>
      <c r="B240" s="76"/>
      <c r="C240" s="100" t="s">
        <v>236</v>
      </c>
      <c r="D240" s="100" t="s">
        <v>117</v>
      </c>
      <c r="E240" s="78" t="s">
        <v>202</v>
      </c>
      <c r="F240" s="79" t="s">
        <v>50</v>
      </c>
      <c r="G240" s="79" t="s">
        <v>50</v>
      </c>
      <c r="H240" s="80" t="s">
        <v>50</v>
      </c>
      <c r="I240" s="79"/>
      <c r="J240" s="79"/>
      <c r="K240" s="80"/>
      <c r="L240" s="79"/>
      <c r="M240" s="79"/>
      <c r="N240" s="80"/>
      <c r="O240" s="79"/>
      <c r="P240" s="79"/>
      <c r="Q240" s="80"/>
    </row>
    <row r="241" spans="1:17" ht="60" customHeight="1">
      <c r="A241" s="81">
        <v>35</v>
      </c>
      <c r="B241" s="82"/>
      <c r="C241" s="101" t="s">
        <v>236</v>
      </c>
      <c r="D241" s="101" t="s">
        <v>117</v>
      </c>
      <c r="E241" s="84" t="s">
        <v>202</v>
      </c>
      <c r="F241" s="85"/>
      <c r="G241" s="86" t="s">
        <v>245</v>
      </c>
      <c r="H241" s="87" t="s">
        <v>245</v>
      </c>
      <c r="I241" s="86"/>
      <c r="J241" s="86"/>
      <c r="K241" s="87"/>
      <c r="L241" s="86"/>
      <c r="M241" s="86"/>
      <c r="N241" s="87"/>
      <c r="O241" s="86"/>
      <c r="P241" s="86"/>
      <c r="Q241" s="87"/>
    </row>
    <row r="242" spans="1:17" ht="45" customHeight="1">
      <c r="A242" s="81">
        <v>35</v>
      </c>
      <c r="B242" s="82"/>
      <c r="C242" s="101" t="s">
        <v>236</v>
      </c>
      <c r="D242" s="101" t="s">
        <v>117</v>
      </c>
      <c r="E242" s="84" t="s">
        <v>202</v>
      </c>
      <c r="F242" s="85"/>
      <c r="G242" s="85"/>
      <c r="H242" s="88"/>
      <c r="I242" s="86"/>
      <c r="J242" s="86"/>
      <c r="K242" s="87"/>
      <c r="L242" s="86"/>
      <c r="M242" s="86"/>
      <c r="N242" s="87"/>
      <c r="O242" s="86"/>
      <c r="P242" s="86"/>
      <c r="Q242" s="87"/>
    </row>
    <row r="243" spans="1:17" ht="14.45" customHeight="1">
      <c r="A243" s="81">
        <v>35</v>
      </c>
      <c r="B243" s="82"/>
      <c r="C243" s="101" t="s">
        <v>236</v>
      </c>
      <c r="D243" s="101" t="s">
        <v>117</v>
      </c>
      <c r="E243" s="84" t="s">
        <v>202</v>
      </c>
      <c r="F243" s="89">
        <v>1146</v>
      </c>
      <c r="G243" s="89">
        <v>780</v>
      </c>
      <c r="H243" s="90">
        <v>481</v>
      </c>
      <c r="I243" s="86"/>
      <c r="J243" s="86"/>
      <c r="K243" s="87"/>
      <c r="L243" s="86"/>
      <c r="M243" s="86"/>
      <c r="N243" s="87"/>
      <c r="O243" s="86"/>
      <c r="P243" s="86"/>
      <c r="Q243" s="87"/>
    </row>
    <row r="244" spans="1:17" ht="45" customHeight="1">
      <c r="A244" s="81">
        <v>35</v>
      </c>
      <c r="B244" s="82"/>
      <c r="C244" s="101" t="s">
        <v>236</v>
      </c>
      <c r="D244" s="101" t="s">
        <v>117</v>
      </c>
      <c r="E244" s="84" t="s">
        <v>202</v>
      </c>
      <c r="F244" s="85"/>
      <c r="G244" s="85"/>
      <c r="H244" s="88"/>
      <c r="I244" s="86"/>
      <c r="J244" s="86"/>
      <c r="K244" s="87"/>
      <c r="L244" s="86"/>
      <c r="M244" s="86"/>
      <c r="N244" s="87"/>
      <c r="O244" s="86"/>
      <c r="P244" s="86"/>
      <c r="Q244" s="87"/>
    </row>
    <row r="245" spans="1:17" ht="14.45" customHeight="1">
      <c r="A245" s="81">
        <v>35</v>
      </c>
      <c r="B245" s="82"/>
      <c r="C245" s="101" t="s">
        <v>236</v>
      </c>
      <c r="D245" s="101" t="s">
        <v>117</v>
      </c>
      <c r="E245" s="84" t="s">
        <v>202</v>
      </c>
      <c r="F245" s="89">
        <v>166</v>
      </c>
      <c r="G245" s="85"/>
      <c r="H245" s="88"/>
      <c r="I245" s="86"/>
      <c r="J245" s="86"/>
      <c r="K245" s="87"/>
      <c r="L245" s="86"/>
      <c r="M245" s="86"/>
      <c r="N245" s="87"/>
      <c r="O245" s="86"/>
      <c r="P245" s="86"/>
      <c r="Q245" s="87"/>
    </row>
    <row r="246" spans="1:17" ht="24" customHeight="1">
      <c r="A246" s="91">
        <v>35</v>
      </c>
      <c r="B246" s="92"/>
      <c r="C246" s="102" t="s">
        <v>236</v>
      </c>
      <c r="D246" s="102" t="s">
        <v>117</v>
      </c>
      <c r="E246" s="94" t="s">
        <v>202</v>
      </c>
      <c r="F246" s="95" t="s">
        <v>56</v>
      </c>
      <c r="G246" s="96">
        <v>330000</v>
      </c>
      <c r="H246" s="97">
        <v>330000</v>
      </c>
      <c r="I246" s="98"/>
      <c r="J246" s="98"/>
      <c r="K246" s="99"/>
      <c r="L246" s="98"/>
      <c r="M246" s="98"/>
      <c r="N246" s="99"/>
      <c r="O246" s="98"/>
      <c r="P246" s="98"/>
      <c r="Q246" s="99"/>
    </row>
    <row r="247" spans="1:17" ht="14.45" customHeight="1">
      <c r="A247" s="75">
        <v>36</v>
      </c>
      <c r="B247" s="76"/>
      <c r="C247" s="100" t="s">
        <v>240</v>
      </c>
      <c r="D247" s="100" t="s">
        <v>117</v>
      </c>
      <c r="E247" s="78" t="s">
        <v>216</v>
      </c>
      <c r="F247" s="79" t="s">
        <v>50</v>
      </c>
      <c r="G247" s="79" t="s">
        <v>50</v>
      </c>
      <c r="H247" s="80" t="s">
        <v>50</v>
      </c>
      <c r="I247" s="79"/>
      <c r="J247" s="79"/>
      <c r="K247" s="80"/>
      <c r="L247" s="79"/>
      <c r="M247" s="79"/>
      <c r="N247" s="80"/>
      <c r="O247" s="79"/>
      <c r="P247" s="79"/>
      <c r="Q247" s="80"/>
    </row>
    <row r="248" spans="1:17" ht="60" customHeight="1">
      <c r="A248" s="81">
        <v>36</v>
      </c>
      <c r="B248" s="82"/>
      <c r="C248" s="101" t="s">
        <v>240</v>
      </c>
      <c r="D248" s="101" t="s">
        <v>117</v>
      </c>
      <c r="E248" s="84" t="s">
        <v>216</v>
      </c>
      <c r="F248" s="85"/>
      <c r="G248" s="86" t="s">
        <v>246</v>
      </c>
      <c r="H248" s="87" t="s">
        <v>246</v>
      </c>
      <c r="I248" s="86"/>
      <c r="J248" s="86"/>
      <c r="K248" s="87"/>
      <c r="L248" s="86"/>
      <c r="M248" s="86"/>
      <c r="N248" s="87"/>
      <c r="O248" s="86"/>
      <c r="P248" s="86"/>
      <c r="Q248" s="87"/>
    </row>
    <row r="249" spans="1:17" ht="45" customHeight="1">
      <c r="A249" s="81">
        <v>36</v>
      </c>
      <c r="B249" s="82"/>
      <c r="C249" s="101" t="s">
        <v>240</v>
      </c>
      <c r="D249" s="101" t="s">
        <v>117</v>
      </c>
      <c r="E249" s="84" t="s">
        <v>216</v>
      </c>
      <c r="F249" s="85"/>
      <c r="G249" s="85"/>
      <c r="H249" s="88"/>
      <c r="I249" s="86"/>
      <c r="J249" s="86"/>
      <c r="K249" s="87"/>
      <c r="L249" s="86"/>
      <c r="M249" s="86"/>
      <c r="N249" s="87"/>
      <c r="O249" s="86"/>
      <c r="P249" s="86"/>
      <c r="Q249" s="87"/>
    </row>
    <row r="250" spans="1:17" ht="14.45" customHeight="1">
      <c r="A250" s="81">
        <v>36</v>
      </c>
      <c r="B250" s="82"/>
      <c r="C250" s="101" t="s">
        <v>240</v>
      </c>
      <c r="D250" s="101" t="s">
        <v>117</v>
      </c>
      <c r="E250" s="84" t="s">
        <v>216</v>
      </c>
      <c r="F250" s="89">
        <v>1192</v>
      </c>
      <c r="G250" s="89">
        <v>312</v>
      </c>
      <c r="H250" s="90">
        <v>500</v>
      </c>
      <c r="I250" s="86"/>
      <c r="J250" s="86"/>
      <c r="K250" s="87"/>
      <c r="L250" s="86"/>
      <c r="M250" s="86"/>
      <c r="N250" s="87"/>
      <c r="O250" s="86"/>
      <c r="P250" s="86"/>
      <c r="Q250" s="87"/>
    </row>
    <row r="251" spans="1:17" ht="45" customHeight="1">
      <c r="A251" s="81">
        <v>36</v>
      </c>
      <c r="B251" s="82"/>
      <c r="C251" s="101" t="s">
        <v>240</v>
      </c>
      <c r="D251" s="101" t="s">
        <v>117</v>
      </c>
      <c r="E251" s="84" t="s">
        <v>216</v>
      </c>
      <c r="F251" s="85"/>
      <c r="G251" s="85"/>
      <c r="H251" s="88"/>
      <c r="I251" s="86"/>
      <c r="J251" s="86"/>
      <c r="K251" s="87"/>
      <c r="L251" s="86"/>
      <c r="M251" s="86"/>
      <c r="N251" s="87"/>
      <c r="O251" s="86"/>
      <c r="P251" s="86"/>
      <c r="Q251" s="87"/>
    </row>
    <row r="252" spans="1:17" ht="14.45" customHeight="1">
      <c r="A252" s="81">
        <v>36</v>
      </c>
      <c r="B252" s="82"/>
      <c r="C252" s="101" t="s">
        <v>240</v>
      </c>
      <c r="D252" s="101" t="s">
        <v>117</v>
      </c>
      <c r="E252" s="84" t="s">
        <v>216</v>
      </c>
      <c r="F252" s="89">
        <v>252</v>
      </c>
      <c r="G252" s="85"/>
      <c r="H252" s="88"/>
      <c r="I252" s="86"/>
      <c r="J252" s="86"/>
      <c r="K252" s="87"/>
      <c r="L252" s="86"/>
      <c r="M252" s="86"/>
      <c r="N252" s="87"/>
      <c r="O252" s="86"/>
      <c r="P252" s="86"/>
      <c r="Q252" s="87"/>
    </row>
    <row r="253" spans="1:17" ht="24" customHeight="1">
      <c r="A253" s="91">
        <v>36</v>
      </c>
      <c r="B253" s="92"/>
      <c r="C253" s="102" t="s">
        <v>240</v>
      </c>
      <c r="D253" s="102" t="s">
        <v>117</v>
      </c>
      <c r="E253" s="94" t="s">
        <v>216</v>
      </c>
      <c r="F253" s="95" t="s">
        <v>56</v>
      </c>
      <c r="G253" s="96">
        <v>341000</v>
      </c>
      <c r="H253" s="97">
        <v>341000</v>
      </c>
      <c r="I253" s="98"/>
      <c r="J253" s="98"/>
      <c r="K253" s="99"/>
      <c r="L253" s="98"/>
      <c r="M253" s="98"/>
      <c r="N253" s="99"/>
      <c r="O253" s="98"/>
      <c r="P253" s="98"/>
      <c r="Q253" s="99"/>
    </row>
    <row r="254" spans="1:17" ht="14.45" customHeight="1">
      <c r="A254" s="75">
        <v>37</v>
      </c>
      <c r="B254" s="76"/>
      <c r="C254" s="100" t="s">
        <v>238</v>
      </c>
      <c r="D254" s="100" t="s">
        <v>117</v>
      </c>
      <c r="E254" s="78" t="s">
        <v>207</v>
      </c>
      <c r="F254" s="79" t="s">
        <v>50</v>
      </c>
      <c r="G254" s="79" t="s">
        <v>50</v>
      </c>
      <c r="H254" s="80" t="s">
        <v>50</v>
      </c>
      <c r="I254" s="79" t="s">
        <v>51</v>
      </c>
      <c r="J254" s="79" t="s">
        <v>51</v>
      </c>
      <c r="K254" s="80" t="s">
        <v>51</v>
      </c>
      <c r="L254" s="79"/>
      <c r="M254" s="79"/>
      <c r="N254" s="80"/>
      <c r="O254" s="79"/>
      <c r="P254" s="79"/>
      <c r="Q254" s="80"/>
    </row>
    <row r="255" spans="1:17" ht="60" customHeight="1">
      <c r="A255" s="81">
        <v>37</v>
      </c>
      <c r="B255" s="82"/>
      <c r="C255" s="101" t="s">
        <v>238</v>
      </c>
      <c r="D255" s="101" t="s">
        <v>117</v>
      </c>
      <c r="E255" s="84" t="s">
        <v>207</v>
      </c>
      <c r="F255" s="85"/>
      <c r="G255" s="86" t="s">
        <v>244</v>
      </c>
      <c r="H255" s="87" t="s">
        <v>244</v>
      </c>
      <c r="I255" s="85"/>
      <c r="J255" s="86" t="s">
        <v>245</v>
      </c>
      <c r="K255" s="87" t="s">
        <v>245</v>
      </c>
      <c r="L255" s="86"/>
      <c r="M255" s="86"/>
      <c r="N255" s="87"/>
      <c r="O255" s="86"/>
      <c r="P255" s="86"/>
      <c r="Q255" s="87"/>
    </row>
    <row r="256" spans="1:17" ht="45" customHeight="1">
      <c r="A256" s="81">
        <v>37</v>
      </c>
      <c r="B256" s="82"/>
      <c r="C256" s="101" t="s">
        <v>238</v>
      </c>
      <c r="D256" s="101" t="s">
        <v>117</v>
      </c>
      <c r="E256" s="84" t="s">
        <v>207</v>
      </c>
      <c r="F256" s="85"/>
      <c r="G256" s="85"/>
      <c r="H256" s="88"/>
      <c r="I256" s="85"/>
      <c r="J256" s="85"/>
      <c r="K256" s="88"/>
      <c r="L256" s="86"/>
      <c r="M256" s="86"/>
      <c r="N256" s="87"/>
      <c r="O256" s="86"/>
      <c r="P256" s="86"/>
      <c r="Q256" s="87"/>
    </row>
    <row r="257" spans="1:17" ht="14.45" customHeight="1">
      <c r="A257" s="81">
        <v>37</v>
      </c>
      <c r="B257" s="82"/>
      <c r="C257" s="101" t="s">
        <v>238</v>
      </c>
      <c r="D257" s="101" t="s">
        <v>117</v>
      </c>
      <c r="E257" s="84" t="s">
        <v>207</v>
      </c>
      <c r="F257" s="89">
        <v>1009</v>
      </c>
      <c r="G257" s="89">
        <v>1061</v>
      </c>
      <c r="H257" s="90">
        <v>423</v>
      </c>
      <c r="I257" s="89">
        <v>1009</v>
      </c>
      <c r="J257" s="89">
        <v>1061</v>
      </c>
      <c r="K257" s="90">
        <v>423</v>
      </c>
      <c r="L257" s="86"/>
      <c r="M257" s="86"/>
      <c r="N257" s="87"/>
      <c r="O257" s="86"/>
      <c r="P257" s="86"/>
      <c r="Q257" s="87"/>
    </row>
    <row r="258" spans="1:17" ht="45" customHeight="1">
      <c r="A258" s="81">
        <v>37</v>
      </c>
      <c r="B258" s="82"/>
      <c r="C258" s="101" t="s">
        <v>238</v>
      </c>
      <c r="D258" s="101" t="s">
        <v>117</v>
      </c>
      <c r="E258" s="84" t="s">
        <v>207</v>
      </c>
      <c r="F258" s="85"/>
      <c r="G258" s="85"/>
      <c r="H258" s="88"/>
      <c r="I258" s="85"/>
      <c r="J258" s="85"/>
      <c r="K258" s="88"/>
      <c r="L258" s="86"/>
      <c r="M258" s="86"/>
      <c r="N258" s="87"/>
      <c r="O258" s="86"/>
      <c r="P258" s="86"/>
      <c r="Q258" s="87"/>
    </row>
    <row r="259" spans="1:17" ht="14.45" customHeight="1">
      <c r="A259" s="81">
        <v>37</v>
      </c>
      <c r="B259" s="82"/>
      <c r="C259" s="101" t="s">
        <v>238</v>
      </c>
      <c r="D259" s="101" t="s">
        <v>117</v>
      </c>
      <c r="E259" s="84" t="s">
        <v>207</v>
      </c>
      <c r="F259" s="89">
        <v>146</v>
      </c>
      <c r="G259" s="85"/>
      <c r="H259" s="88"/>
      <c r="I259" s="89">
        <v>146</v>
      </c>
      <c r="J259" s="85"/>
      <c r="K259" s="88"/>
      <c r="L259" s="86"/>
      <c r="M259" s="86"/>
      <c r="N259" s="87"/>
      <c r="O259" s="86"/>
      <c r="P259" s="86"/>
      <c r="Q259" s="87"/>
    </row>
    <row r="260" spans="1:17" ht="24" customHeight="1">
      <c r="A260" s="91">
        <v>37</v>
      </c>
      <c r="B260" s="92"/>
      <c r="C260" s="102" t="s">
        <v>238</v>
      </c>
      <c r="D260" s="102" t="s">
        <v>117</v>
      </c>
      <c r="E260" s="94" t="s">
        <v>207</v>
      </c>
      <c r="F260" s="95" t="s">
        <v>56</v>
      </c>
      <c r="G260" s="96">
        <v>336000</v>
      </c>
      <c r="H260" s="97">
        <v>336000</v>
      </c>
      <c r="I260" s="95" t="s">
        <v>56</v>
      </c>
      <c r="J260" s="96">
        <v>336000</v>
      </c>
      <c r="K260" s="97">
        <v>336000</v>
      </c>
      <c r="L260" s="98"/>
      <c r="M260" s="98"/>
      <c r="N260" s="99"/>
      <c r="O260" s="98"/>
      <c r="P260" s="98"/>
      <c r="Q260" s="99"/>
    </row>
    <row r="261" spans="1:17" ht="14.45" customHeight="1">
      <c r="A261" s="75">
        <v>38</v>
      </c>
      <c r="B261" s="76"/>
      <c r="C261" s="100" t="s">
        <v>235</v>
      </c>
      <c r="D261" s="100" t="s">
        <v>117</v>
      </c>
      <c r="E261" s="78" t="s">
        <v>202</v>
      </c>
      <c r="F261" s="79" t="s">
        <v>50</v>
      </c>
      <c r="G261" s="79" t="s">
        <v>50</v>
      </c>
      <c r="H261" s="80" t="s">
        <v>50</v>
      </c>
      <c r="I261" s="79"/>
      <c r="J261" s="79"/>
      <c r="K261" s="80"/>
      <c r="L261" s="79"/>
      <c r="M261" s="79"/>
      <c r="N261" s="80"/>
      <c r="O261" s="79"/>
      <c r="P261" s="79"/>
      <c r="Q261" s="80"/>
    </row>
    <row r="262" spans="1:17" ht="60" customHeight="1">
      <c r="A262" s="81">
        <v>38</v>
      </c>
      <c r="B262" s="82"/>
      <c r="C262" s="101" t="s">
        <v>235</v>
      </c>
      <c r="D262" s="101" t="s">
        <v>117</v>
      </c>
      <c r="E262" s="84" t="s">
        <v>202</v>
      </c>
      <c r="F262" s="85"/>
      <c r="G262" s="86" t="s">
        <v>247</v>
      </c>
      <c r="H262" s="87" t="s">
        <v>247</v>
      </c>
      <c r="I262" s="86"/>
      <c r="J262" s="86"/>
      <c r="K262" s="87"/>
      <c r="L262" s="86"/>
      <c r="M262" s="86"/>
      <c r="N262" s="87"/>
      <c r="O262" s="86"/>
      <c r="P262" s="86"/>
      <c r="Q262" s="87"/>
    </row>
    <row r="263" spans="1:17" ht="45" customHeight="1">
      <c r="A263" s="81">
        <v>38</v>
      </c>
      <c r="B263" s="82"/>
      <c r="C263" s="101" t="s">
        <v>235</v>
      </c>
      <c r="D263" s="101" t="s">
        <v>117</v>
      </c>
      <c r="E263" s="84" t="s">
        <v>202</v>
      </c>
      <c r="F263" s="85"/>
      <c r="G263" s="85"/>
      <c r="H263" s="88"/>
      <c r="I263" s="86"/>
      <c r="J263" s="86"/>
      <c r="K263" s="87"/>
      <c r="L263" s="86"/>
      <c r="M263" s="86"/>
      <c r="N263" s="87"/>
      <c r="O263" s="86"/>
      <c r="P263" s="86"/>
      <c r="Q263" s="87"/>
    </row>
    <row r="264" spans="1:17" ht="14.45" customHeight="1">
      <c r="A264" s="81">
        <v>38</v>
      </c>
      <c r="B264" s="82"/>
      <c r="C264" s="101" t="s">
        <v>235</v>
      </c>
      <c r="D264" s="101" t="s">
        <v>117</v>
      </c>
      <c r="E264" s="84" t="s">
        <v>202</v>
      </c>
      <c r="F264" s="89">
        <v>871</v>
      </c>
      <c r="G264" s="89">
        <v>1217</v>
      </c>
      <c r="H264" s="90">
        <v>366</v>
      </c>
      <c r="I264" s="86"/>
      <c r="J264" s="86"/>
      <c r="K264" s="87"/>
      <c r="L264" s="86"/>
      <c r="M264" s="86"/>
      <c r="N264" s="87"/>
      <c r="O264" s="86"/>
      <c r="P264" s="86"/>
      <c r="Q264" s="87"/>
    </row>
    <row r="265" spans="1:17" ht="45" customHeight="1">
      <c r="A265" s="81">
        <v>38</v>
      </c>
      <c r="B265" s="82"/>
      <c r="C265" s="101" t="s">
        <v>235</v>
      </c>
      <c r="D265" s="101" t="s">
        <v>117</v>
      </c>
      <c r="E265" s="84" t="s">
        <v>202</v>
      </c>
      <c r="F265" s="85"/>
      <c r="G265" s="85"/>
      <c r="H265" s="88"/>
      <c r="I265" s="86"/>
      <c r="J265" s="86"/>
      <c r="K265" s="87"/>
      <c r="L265" s="86"/>
      <c r="M265" s="86"/>
      <c r="N265" s="87"/>
      <c r="O265" s="86"/>
      <c r="P265" s="86"/>
      <c r="Q265" s="87"/>
    </row>
    <row r="266" spans="1:17" ht="14.45" customHeight="1">
      <c r="A266" s="81">
        <v>38</v>
      </c>
      <c r="B266" s="82"/>
      <c r="C266" s="101" t="s">
        <v>235</v>
      </c>
      <c r="D266" s="101" t="s">
        <v>117</v>
      </c>
      <c r="E266" s="84" t="s">
        <v>202</v>
      </c>
      <c r="F266" s="89">
        <v>153</v>
      </c>
      <c r="G266" s="85"/>
      <c r="H266" s="88"/>
      <c r="I266" s="86"/>
      <c r="J266" s="86"/>
      <c r="K266" s="87"/>
      <c r="L266" s="86"/>
      <c r="M266" s="86"/>
      <c r="N266" s="87"/>
      <c r="O266" s="86"/>
      <c r="P266" s="86"/>
      <c r="Q266" s="87"/>
    </row>
    <row r="267" spans="1:17" ht="24" customHeight="1">
      <c r="A267" s="91">
        <v>38</v>
      </c>
      <c r="B267" s="92"/>
      <c r="C267" s="102" t="s">
        <v>235</v>
      </c>
      <c r="D267" s="102" t="s">
        <v>117</v>
      </c>
      <c r="E267" s="94" t="s">
        <v>202</v>
      </c>
      <c r="F267" s="95" t="s">
        <v>56</v>
      </c>
      <c r="G267" s="96">
        <v>336000</v>
      </c>
      <c r="H267" s="97">
        <v>336000</v>
      </c>
      <c r="I267" s="98"/>
      <c r="J267" s="98"/>
      <c r="K267" s="99"/>
      <c r="L267" s="98"/>
      <c r="M267" s="98"/>
      <c r="N267" s="99"/>
      <c r="O267" s="98"/>
      <c r="P267" s="98"/>
      <c r="Q267" s="99"/>
    </row>
    <row r="268" spans="1:17" ht="14.45" customHeight="1">
      <c r="A268" s="75">
        <v>39</v>
      </c>
      <c r="B268" s="76"/>
      <c r="C268" s="103" t="s">
        <v>242</v>
      </c>
      <c r="D268" s="103" t="s">
        <v>165</v>
      </c>
      <c r="E268" s="78" t="s">
        <v>202</v>
      </c>
      <c r="F268" s="79" t="s">
        <v>50</v>
      </c>
      <c r="G268" s="79" t="s">
        <v>50</v>
      </c>
      <c r="H268" s="80" t="s">
        <v>50</v>
      </c>
      <c r="I268" s="79" t="s">
        <v>51</v>
      </c>
      <c r="J268" s="79" t="s">
        <v>51</v>
      </c>
      <c r="K268" s="80" t="s">
        <v>51</v>
      </c>
      <c r="L268" s="79"/>
      <c r="M268" s="79"/>
      <c r="N268" s="80"/>
      <c r="O268" s="79"/>
      <c r="P268" s="79"/>
      <c r="Q268" s="80"/>
    </row>
    <row r="269" spans="1:17" ht="60" customHeight="1">
      <c r="A269" s="81">
        <v>39</v>
      </c>
      <c r="B269" s="82"/>
      <c r="C269" s="104" t="s">
        <v>242</v>
      </c>
      <c r="D269" s="104" t="s">
        <v>165</v>
      </c>
      <c r="E269" s="84" t="s">
        <v>202</v>
      </c>
      <c r="F269" s="85"/>
      <c r="G269" s="86" t="s">
        <v>248</v>
      </c>
      <c r="H269" s="87" t="s">
        <v>248</v>
      </c>
      <c r="I269" s="85"/>
      <c r="J269" s="86"/>
      <c r="K269" s="87"/>
      <c r="L269" s="86"/>
      <c r="M269" s="86"/>
      <c r="N269" s="87"/>
      <c r="O269" s="86"/>
      <c r="P269" s="86"/>
      <c r="Q269" s="87"/>
    </row>
    <row r="270" spans="1:17" ht="45" customHeight="1">
      <c r="A270" s="81">
        <v>39</v>
      </c>
      <c r="B270" s="82"/>
      <c r="C270" s="104" t="s">
        <v>242</v>
      </c>
      <c r="D270" s="104" t="s">
        <v>165</v>
      </c>
      <c r="E270" s="84" t="s">
        <v>202</v>
      </c>
      <c r="F270" s="85"/>
      <c r="G270" s="85"/>
      <c r="H270" s="88"/>
      <c r="I270" s="85"/>
      <c r="J270" s="85"/>
      <c r="K270" s="88"/>
      <c r="L270" s="86"/>
      <c r="M270" s="86"/>
      <c r="N270" s="87"/>
      <c r="O270" s="86"/>
      <c r="P270" s="86"/>
      <c r="Q270" s="87"/>
    </row>
    <row r="271" spans="1:17" ht="14.45" customHeight="1">
      <c r="A271" s="81">
        <v>39</v>
      </c>
      <c r="B271" s="82"/>
      <c r="C271" s="104" t="s">
        <v>242</v>
      </c>
      <c r="D271" s="104" t="s">
        <v>165</v>
      </c>
      <c r="E271" s="84" t="s">
        <v>202</v>
      </c>
      <c r="F271" s="89">
        <v>423</v>
      </c>
      <c r="G271" s="89">
        <v>102</v>
      </c>
      <c r="H271" s="90">
        <v>128</v>
      </c>
      <c r="I271" s="89">
        <v>534</v>
      </c>
      <c r="J271" s="89">
        <v>129</v>
      </c>
      <c r="K271" s="90">
        <v>162</v>
      </c>
      <c r="L271" s="86"/>
      <c r="M271" s="86"/>
      <c r="N271" s="87"/>
      <c r="O271" s="86"/>
      <c r="P271" s="86"/>
      <c r="Q271" s="87"/>
    </row>
    <row r="272" spans="1:17" ht="45" customHeight="1">
      <c r="A272" s="81">
        <v>39</v>
      </c>
      <c r="B272" s="82"/>
      <c r="C272" s="104" t="s">
        <v>242</v>
      </c>
      <c r="D272" s="104" t="s">
        <v>165</v>
      </c>
      <c r="E272" s="84" t="s">
        <v>202</v>
      </c>
      <c r="F272" s="85"/>
      <c r="G272" s="85"/>
      <c r="H272" s="88"/>
      <c r="I272" s="85"/>
      <c r="J272" s="85"/>
      <c r="K272" s="88"/>
      <c r="L272" s="86"/>
      <c r="M272" s="86"/>
      <c r="N272" s="87"/>
      <c r="O272" s="86"/>
      <c r="P272" s="86"/>
      <c r="Q272" s="87"/>
    </row>
    <row r="273" spans="1:17" ht="14.45" customHeight="1">
      <c r="A273" s="81">
        <v>39</v>
      </c>
      <c r="B273" s="82"/>
      <c r="C273" s="104" t="s">
        <v>242</v>
      </c>
      <c r="D273" s="104" t="s">
        <v>165</v>
      </c>
      <c r="E273" s="84" t="s">
        <v>202</v>
      </c>
      <c r="F273" s="89">
        <v>32</v>
      </c>
      <c r="G273" s="85"/>
      <c r="H273" s="88"/>
      <c r="I273" s="89">
        <v>40</v>
      </c>
      <c r="J273" s="85"/>
      <c r="K273" s="88"/>
      <c r="L273" s="86"/>
      <c r="M273" s="86"/>
      <c r="N273" s="87"/>
      <c r="O273" s="86"/>
      <c r="P273" s="86"/>
      <c r="Q273" s="87"/>
    </row>
    <row r="274" spans="1:17" ht="24" customHeight="1">
      <c r="A274" s="91">
        <v>39</v>
      </c>
      <c r="B274" s="92"/>
      <c r="C274" s="105" t="s">
        <v>242</v>
      </c>
      <c r="D274" s="105" t="s">
        <v>165</v>
      </c>
      <c r="E274" s="94" t="s">
        <v>202</v>
      </c>
      <c r="F274" s="95" t="s">
        <v>56</v>
      </c>
      <c r="G274" s="96">
        <v>70900</v>
      </c>
      <c r="H274" s="97">
        <v>70900</v>
      </c>
      <c r="I274" s="95" t="s">
        <v>56</v>
      </c>
      <c r="J274" s="96">
        <v>89500</v>
      </c>
      <c r="K274" s="97">
        <v>89500</v>
      </c>
      <c r="L274" s="98"/>
      <c r="M274" s="98"/>
      <c r="N274" s="99"/>
      <c r="O274" s="98"/>
      <c r="P274" s="98"/>
      <c r="Q274" s="99"/>
    </row>
    <row r="275" spans="1:17" ht="14.45" customHeight="1">
      <c r="A275" s="75">
        <v>40</v>
      </c>
      <c r="B275" s="76"/>
      <c r="C275" s="103" t="s">
        <v>246</v>
      </c>
      <c r="D275" s="103" t="s">
        <v>165</v>
      </c>
      <c r="E275" s="78" t="s">
        <v>216</v>
      </c>
      <c r="F275" s="79" t="s">
        <v>50</v>
      </c>
      <c r="G275" s="79" t="s">
        <v>50</v>
      </c>
      <c r="H275" s="80" t="s">
        <v>50</v>
      </c>
      <c r="I275" s="79" t="s">
        <v>51</v>
      </c>
      <c r="J275" s="79" t="s">
        <v>51</v>
      </c>
      <c r="K275" s="80" t="s">
        <v>51</v>
      </c>
      <c r="L275" s="79" t="s">
        <v>52</v>
      </c>
      <c r="M275" s="79" t="s">
        <v>52</v>
      </c>
      <c r="N275" s="80" t="s">
        <v>52</v>
      </c>
      <c r="O275" s="79"/>
      <c r="P275" s="79"/>
      <c r="Q275" s="80"/>
    </row>
    <row r="276" spans="1:17" ht="60" customHeight="1">
      <c r="A276" s="81">
        <v>40</v>
      </c>
      <c r="B276" s="82"/>
      <c r="C276" s="104" t="s">
        <v>246</v>
      </c>
      <c r="D276" s="104" t="s">
        <v>165</v>
      </c>
      <c r="E276" s="84" t="s">
        <v>216</v>
      </c>
      <c r="F276" s="85"/>
      <c r="G276" s="86" t="s">
        <v>249</v>
      </c>
      <c r="H276" s="87" t="s">
        <v>249</v>
      </c>
      <c r="I276" s="85"/>
      <c r="J276" s="86"/>
      <c r="K276" s="87"/>
      <c r="L276" s="85"/>
      <c r="M276" s="86" t="s">
        <v>250</v>
      </c>
      <c r="N276" s="87" t="s">
        <v>250</v>
      </c>
      <c r="O276" s="86"/>
      <c r="P276" s="86"/>
      <c r="Q276" s="87"/>
    </row>
    <row r="277" spans="1:17" ht="45" customHeight="1">
      <c r="A277" s="81">
        <v>40</v>
      </c>
      <c r="B277" s="82"/>
      <c r="C277" s="104" t="s">
        <v>246</v>
      </c>
      <c r="D277" s="104" t="s">
        <v>165</v>
      </c>
      <c r="E277" s="84" t="s">
        <v>216</v>
      </c>
      <c r="F277" s="85"/>
      <c r="G277" s="85"/>
      <c r="H277" s="88"/>
      <c r="I277" s="85"/>
      <c r="J277" s="85"/>
      <c r="K277" s="88"/>
      <c r="L277" s="85"/>
      <c r="M277" s="85"/>
      <c r="N277" s="88"/>
      <c r="O277" s="86"/>
      <c r="P277" s="86"/>
      <c r="Q277" s="87"/>
    </row>
    <row r="278" spans="1:17" ht="14.45" customHeight="1">
      <c r="A278" s="81">
        <v>40</v>
      </c>
      <c r="B278" s="82"/>
      <c r="C278" s="104" t="s">
        <v>246</v>
      </c>
      <c r="D278" s="104" t="s">
        <v>165</v>
      </c>
      <c r="E278" s="84" t="s">
        <v>216</v>
      </c>
      <c r="F278" s="89">
        <v>282</v>
      </c>
      <c r="G278" s="89">
        <v>54</v>
      </c>
      <c r="H278" s="90">
        <v>145</v>
      </c>
      <c r="I278" s="89">
        <v>356</v>
      </c>
      <c r="J278" s="89">
        <v>68</v>
      </c>
      <c r="K278" s="90">
        <v>183</v>
      </c>
      <c r="L278" s="89">
        <v>282</v>
      </c>
      <c r="M278" s="89">
        <v>54</v>
      </c>
      <c r="N278" s="90">
        <v>145</v>
      </c>
      <c r="O278" s="86"/>
      <c r="P278" s="86"/>
      <c r="Q278" s="87"/>
    </row>
    <row r="279" spans="1:17" ht="45" customHeight="1">
      <c r="A279" s="81">
        <v>40</v>
      </c>
      <c r="B279" s="82"/>
      <c r="C279" s="104" t="s">
        <v>246</v>
      </c>
      <c r="D279" s="104" t="s">
        <v>165</v>
      </c>
      <c r="E279" s="84" t="s">
        <v>216</v>
      </c>
      <c r="F279" s="85"/>
      <c r="G279" s="85"/>
      <c r="H279" s="88"/>
      <c r="I279" s="85"/>
      <c r="J279" s="85"/>
      <c r="K279" s="88"/>
      <c r="L279" s="85"/>
      <c r="M279" s="85"/>
      <c r="N279" s="88"/>
      <c r="O279" s="86"/>
      <c r="P279" s="86"/>
      <c r="Q279" s="87"/>
    </row>
    <row r="280" spans="1:17" ht="14.45" customHeight="1">
      <c r="A280" s="81">
        <v>40</v>
      </c>
      <c r="B280" s="82"/>
      <c r="C280" s="104" t="s">
        <v>246</v>
      </c>
      <c r="D280" s="104" t="s">
        <v>165</v>
      </c>
      <c r="E280" s="84" t="s">
        <v>216</v>
      </c>
      <c r="F280" s="89">
        <v>63</v>
      </c>
      <c r="G280" s="85"/>
      <c r="H280" s="88"/>
      <c r="I280" s="89">
        <v>80</v>
      </c>
      <c r="J280" s="85"/>
      <c r="K280" s="88"/>
      <c r="L280" s="89">
        <v>63</v>
      </c>
      <c r="M280" s="85"/>
      <c r="N280" s="88"/>
      <c r="O280" s="86"/>
      <c r="P280" s="86"/>
      <c r="Q280" s="87"/>
    </row>
    <row r="281" spans="1:17" ht="24" customHeight="1">
      <c r="A281" s="91">
        <v>40</v>
      </c>
      <c r="B281" s="92"/>
      <c r="C281" s="105" t="s">
        <v>246</v>
      </c>
      <c r="D281" s="105" t="s">
        <v>165</v>
      </c>
      <c r="E281" s="94" t="s">
        <v>216</v>
      </c>
      <c r="F281" s="95" t="s">
        <v>56</v>
      </c>
      <c r="G281" s="96">
        <v>62200</v>
      </c>
      <c r="H281" s="97">
        <v>62200</v>
      </c>
      <c r="I281" s="95" t="s">
        <v>56</v>
      </c>
      <c r="J281" s="96">
        <v>78700</v>
      </c>
      <c r="K281" s="97">
        <v>78700</v>
      </c>
      <c r="L281" s="95" t="s">
        <v>56</v>
      </c>
      <c r="M281" s="96">
        <v>62200</v>
      </c>
      <c r="N281" s="97">
        <v>62200</v>
      </c>
      <c r="O281" s="98"/>
      <c r="P281" s="98"/>
      <c r="Q281" s="99"/>
    </row>
    <row r="282" spans="1:17" ht="14.45" customHeight="1">
      <c r="A282" s="75">
        <v>41</v>
      </c>
      <c r="B282" s="76"/>
      <c r="C282" s="103" t="s">
        <v>243</v>
      </c>
      <c r="D282" s="103" t="s">
        <v>165</v>
      </c>
      <c r="E282" s="78" t="s">
        <v>207</v>
      </c>
      <c r="F282" s="79" t="s">
        <v>50</v>
      </c>
      <c r="G282" s="79" t="s">
        <v>50</v>
      </c>
      <c r="H282" s="80" t="s">
        <v>50</v>
      </c>
      <c r="I282" s="79" t="s">
        <v>51</v>
      </c>
      <c r="J282" s="79" t="s">
        <v>51</v>
      </c>
      <c r="K282" s="80" t="s">
        <v>51</v>
      </c>
      <c r="L282" s="79"/>
      <c r="M282" s="79"/>
      <c r="N282" s="80"/>
      <c r="O282" s="79"/>
      <c r="P282" s="79"/>
      <c r="Q282" s="80"/>
    </row>
    <row r="283" spans="1:17" ht="60" customHeight="1">
      <c r="A283" s="81">
        <v>41</v>
      </c>
      <c r="B283" s="82"/>
      <c r="C283" s="104" t="s">
        <v>243</v>
      </c>
      <c r="D283" s="104" t="s">
        <v>165</v>
      </c>
      <c r="E283" s="84" t="s">
        <v>207</v>
      </c>
      <c r="F283" s="85"/>
      <c r="G283" s="86" t="s">
        <v>251</v>
      </c>
      <c r="H283" s="87" t="s">
        <v>251</v>
      </c>
      <c r="I283" s="85"/>
      <c r="J283" s="86"/>
      <c r="K283" s="87"/>
      <c r="L283" s="86"/>
      <c r="M283" s="86"/>
      <c r="N283" s="87"/>
      <c r="O283" s="86"/>
      <c r="P283" s="86"/>
      <c r="Q283" s="87"/>
    </row>
    <row r="284" spans="1:17" ht="45" customHeight="1">
      <c r="A284" s="81">
        <v>41</v>
      </c>
      <c r="B284" s="82"/>
      <c r="C284" s="104" t="s">
        <v>243</v>
      </c>
      <c r="D284" s="104" t="s">
        <v>165</v>
      </c>
      <c r="E284" s="84" t="s">
        <v>207</v>
      </c>
      <c r="F284" s="85"/>
      <c r="G284" s="85"/>
      <c r="H284" s="88"/>
      <c r="I284" s="85"/>
      <c r="J284" s="85"/>
      <c r="K284" s="88"/>
      <c r="L284" s="86"/>
      <c r="M284" s="86"/>
      <c r="N284" s="87"/>
      <c r="O284" s="86"/>
      <c r="P284" s="86"/>
      <c r="Q284" s="87"/>
    </row>
    <row r="285" spans="1:17" ht="14.45" customHeight="1">
      <c r="A285" s="81">
        <v>41</v>
      </c>
      <c r="B285" s="82"/>
      <c r="C285" s="104" t="s">
        <v>243</v>
      </c>
      <c r="D285" s="104" t="s">
        <v>165</v>
      </c>
      <c r="E285" s="84" t="s">
        <v>207</v>
      </c>
      <c r="F285" s="89">
        <v>325</v>
      </c>
      <c r="G285" s="89">
        <v>107</v>
      </c>
      <c r="H285" s="90">
        <v>111</v>
      </c>
      <c r="I285" s="89">
        <v>411</v>
      </c>
      <c r="J285" s="89">
        <v>135</v>
      </c>
      <c r="K285" s="90">
        <v>141</v>
      </c>
      <c r="L285" s="86"/>
      <c r="M285" s="86"/>
      <c r="N285" s="87"/>
      <c r="O285" s="86"/>
      <c r="P285" s="86"/>
      <c r="Q285" s="87"/>
    </row>
    <row r="286" spans="1:17" ht="45" customHeight="1">
      <c r="A286" s="81">
        <v>41</v>
      </c>
      <c r="B286" s="82"/>
      <c r="C286" s="104" t="s">
        <v>243</v>
      </c>
      <c r="D286" s="104" t="s">
        <v>165</v>
      </c>
      <c r="E286" s="84" t="s">
        <v>207</v>
      </c>
      <c r="F286" s="85"/>
      <c r="G286" s="85"/>
      <c r="H286" s="88"/>
      <c r="I286" s="85"/>
      <c r="J286" s="85"/>
      <c r="K286" s="88"/>
      <c r="L286" s="86"/>
      <c r="M286" s="86"/>
      <c r="N286" s="87"/>
      <c r="O286" s="86"/>
      <c r="P286" s="86"/>
      <c r="Q286" s="87"/>
    </row>
    <row r="287" spans="1:17" ht="14.45" customHeight="1">
      <c r="A287" s="81">
        <v>41</v>
      </c>
      <c r="B287" s="82"/>
      <c r="C287" s="104" t="s">
        <v>243</v>
      </c>
      <c r="D287" s="104" t="s">
        <v>165</v>
      </c>
      <c r="E287" s="84" t="s">
        <v>207</v>
      </c>
      <c r="F287" s="89">
        <v>50</v>
      </c>
      <c r="G287" s="85"/>
      <c r="H287" s="88"/>
      <c r="I287" s="89">
        <v>63</v>
      </c>
      <c r="J287" s="85"/>
      <c r="K287" s="88"/>
      <c r="L287" s="86"/>
      <c r="M287" s="86"/>
      <c r="N287" s="87"/>
      <c r="O287" s="86"/>
      <c r="P287" s="86"/>
      <c r="Q287" s="87"/>
    </row>
    <row r="288" spans="1:17" ht="24" customHeight="1">
      <c r="A288" s="91">
        <v>41</v>
      </c>
      <c r="B288" s="92"/>
      <c r="C288" s="105" t="s">
        <v>243</v>
      </c>
      <c r="D288" s="105" t="s">
        <v>165</v>
      </c>
      <c r="E288" s="94" t="s">
        <v>207</v>
      </c>
      <c r="F288" s="95" t="s">
        <v>56</v>
      </c>
      <c r="G288" s="96">
        <v>65500</v>
      </c>
      <c r="H288" s="97">
        <v>65500</v>
      </c>
      <c r="I288" s="95" t="s">
        <v>56</v>
      </c>
      <c r="J288" s="96">
        <v>82800</v>
      </c>
      <c r="K288" s="97">
        <v>82800</v>
      </c>
      <c r="L288" s="98"/>
      <c r="M288" s="98"/>
      <c r="N288" s="99"/>
      <c r="O288" s="98"/>
      <c r="P288" s="98"/>
      <c r="Q288" s="99"/>
    </row>
    <row r="289" spans="1:17" ht="14.45" customHeight="1">
      <c r="A289" s="75">
        <v>42</v>
      </c>
      <c r="B289" s="76"/>
      <c r="C289" s="103" t="s">
        <v>245</v>
      </c>
      <c r="D289" s="103" t="s">
        <v>165</v>
      </c>
      <c r="E289" s="78" t="s">
        <v>207</v>
      </c>
      <c r="F289" s="79" t="s">
        <v>50</v>
      </c>
      <c r="G289" s="79" t="s">
        <v>50</v>
      </c>
      <c r="H289" s="80" t="s">
        <v>50</v>
      </c>
      <c r="I289" s="79" t="s">
        <v>51</v>
      </c>
      <c r="J289" s="79" t="s">
        <v>51</v>
      </c>
      <c r="K289" s="80" t="s">
        <v>51</v>
      </c>
      <c r="L289" s="79"/>
      <c r="M289" s="79"/>
      <c r="N289" s="80"/>
      <c r="O289" s="79"/>
      <c r="P289" s="79"/>
      <c r="Q289" s="80"/>
    </row>
    <row r="290" spans="1:17" ht="60" customHeight="1">
      <c r="A290" s="81">
        <v>42</v>
      </c>
      <c r="B290" s="82"/>
      <c r="C290" s="104" t="s">
        <v>245</v>
      </c>
      <c r="D290" s="104" t="s">
        <v>165</v>
      </c>
      <c r="E290" s="84" t="s">
        <v>207</v>
      </c>
      <c r="F290" s="85"/>
      <c r="G290" s="86" t="s">
        <v>252</v>
      </c>
      <c r="H290" s="87" t="s">
        <v>252</v>
      </c>
      <c r="I290" s="85"/>
      <c r="J290" s="86"/>
      <c r="K290" s="87"/>
      <c r="L290" s="86"/>
      <c r="M290" s="86"/>
      <c r="N290" s="87"/>
      <c r="O290" s="86"/>
      <c r="P290" s="86"/>
      <c r="Q290" s="87"/>
    </row>
    <row r="291" spans="1:17" ht="45" customHeight="1">
      <c r="A291" s="81">
        <v>42</v>
      </c>
      <c r="B291" s="82"/>
      <c r="C291" s="104" t="s">
        <v>245</v>
      </c>
      <c r="D291" s="104" t="s">
        <v>165</v>
      </c>
      <c r="E291" s="84" t="s">
        <v>207</v>
      </c>
      <c r="F291" s="85"/>
      <c r="G291" s="85"/>
      <c r="H291" s="88"/>
      <c r="I291" s="85"/>
      <c r="J291" s="85"/>
      <c r="K291" s="88"/>
      <c r="L291" s="86"/>
      <c r="M291" s="86"/>
      <c r="N291" s="87"/>
      <c r="O291" s="86"/>
      <c r="P291" s="86"/>
      <c r="Q291" s="87"/>
    </row>
    <row r="292" spans="1:17" ht="14.45" customHeight="1">
      <c r="A292" s="81">
        <v>42</v>
      </c>
      <c r="B292" s="82"/>
      <c r="C292" s="104" t="s">
        <v>245</v>
      </c>
      <c r="D292" s="104" t="s">
        <v>165</v>
      </c>
      <c r="E292" s="84" t="s">
        <v>207</v>
      </c>
      <c r="F292" s="89">
        <v>239</v>
      </c>
      <c r="G292" s="89">
        <v>182</v>
      </c>
      <c r="H292" s="90">
        <v>122</v>
      </c>
      <c r="I292" s="89">
        <v>301</v>
      </c>
      <c r="J292" s="89">
        <v>230</v>
      </c>
      <c r="K292" s="90">
        <v>155</v>
      </c>
      <c r="L292" s="86"/>
      <c r="M292" s="86"/>
      <c r="N292" s="87"/>
      <c r="O292" s="86"/>
      <c r="P292" s="86"/>
      <c r="Q292" s="87"/>
    </row>
    <row r="293" spans="1:17" ht="45" customHeight="1">
      <c r="A293" s="81">
        <v>42</v>
      </c>
      <c r="B293" s="82"/>
      <c r="C293" s="104" t="s">
        <v>245</v>
      </c>
      <c r="D293" s="104" t="s">
        <v>165</v>
      </c>
      <c r="E293" s="84" t="s">
        <v>207</v>
      </c>
      <c r="F293" s="85"/>
      <c r="G293" s="85"/>
      <c r="H293" s="88"/>
      <c r="I293" s="85"/>
      <c r="J293" s="85"/>
      <c r="K293" s="88"/>
      <c r="L293" s="86"/>
      <c r="M293" s="86"/>
      <c r="N293" s="87"/>
      <c r="O293" s="86"/>
      <c r="P293" s="86"/>
      <c r="Q293" s="87"/>
    </row>
    <row r="294" spans="1:17" ht="14.45" customHeight="1">
      <c r="A294" s="81">
        <v>42</v>
      </c>
      <c r="B294" s="82"/>
      <c r="C294" s="104" t="s">
        <v>245</v>
      </c>
      <c r="D294" s="104" t="s">
        <v>165</v>
      </c>
      <c r="E294" s="84" t="s">
        <v>207</v>
      </c>
      <c r="F294" s="89">
        <v>37</v>
      </c>
      <c r="G294" s="85"/>
      <c r="H294" s="88"/>
      <c r="I294" s="89">
        <v>46</v>
      </c>
      <c r="J294" s="85"/>
      <c r="K294" s="88"/>
      <c r="L294" s="86"/>
      <c r="M294" s="86"/>
      <c r="N294" s="87"/>
      <c r="O294" s="86"/>
      <c r="P294" s="86"/>
      <c r="Q294" s="87"/>
    </row>
    <row r="295" spans="1:17" ht="24" customHeight="1">
      <c r="A295" s="91">
        <v>42</v>
      </c>
      <c r="B295" s="92"/>
      <c r="C295" s="105" t="s">
        <v>245</v>
      </c>
      <c r="D295" s="105" t="s">
        <v>165</v>
      </c>
      <c r="E295" s="94" t="s">
        <v>207</v>
      </c>
      <c r="F295" s="95" t="s">
        <v>56</v>
      </c>
      <c r="G295" s="96">
        <v>61300</v>
      </c>
      <c r="H295" s="97">
        <v>61300</v>
      </c>
      <c r="I295" s="95" t="s">
        <v>56</v>
      </c>
      <c r="J295" s="96">
        <v>77300</v>
      </c>
      <c r="K295" s="97">
        <v>77300</v>
      </c>
      <c r="L295" s="98"/>
      <c r="M295" s="98"/>
      <c r="N295" s="99"/>
      <c r="O295" s="98"/>
      <c r="P295" s="98"/>
      <c r="Q295" s="99"/>
    </row>
    <row r="296" spans="1:17" ht="14.45" customHeight="1">
      <c r="A296" s="75">
        <v>43</v>
      </c>
      <c r="B296" s="76"/>
      <c r="C296" s="103" t="s">
        <v>244</v>
      </c>
      <c r="D296" s="103" t="s">
        <v>165</v>
      </c>
      <c r="E296" s="78" t="s">
        <v>207</v>
      </c>
      <c r="F296" s="79" t="s">
        <v>50</v>
      </c>
      <c r="G296" s="79" t="s">
        <v>50</v>
      </c>
      <c r="H296" s="80" t="s">
        <v>50</v>
      </c>
      <c r="I296" s="79" t="s">
        <v>51</v>
      </c>
      <c r="J296" s="79" t="s">
        <v>51</v>
      </c>
      <c r="K296" s="80" t="s">
        <v>51</v>
      </c>
      <c r="L296" s="79"/>
      <c r="M296" s="79"/>
      <c r="N296" s="80"/>
      <c r="O296" s="79"/>
      <c r="P296" s="79"/>
      <c r="Q296" s="80"/>
    </row>
    <row r="297" spans="1:17" ht="60" customHeight="1">
      <c r="A297" s="81">
        <v>43</v>
      </c>
      <c r="B297" s="82"/>
      <c r="C297" s="104" t="s">
        <v>244</v>
      </c>
      <c r="D297" s="104" t="s">
        <v>165</v>
      </c>
      <c r="E297" s="84" t="s">
        <v>207</v>
      </c>
      <c r="F297" s="85"/>
      <c r="G297" s="86" t="s">
        <v>253</v>
      </c>
      <c r="H297" s="87" t="s">
        <v>253</v>
      </c>
      <c r="I297" s="85"/>
      <c r="J297" s="86"/>
      <c r="K297" s="87"/>
      <c r="L297" s="86"/>
      <c r="M297" s="86"/>
      <c r="N297" s="87"/>
      <c r="O297" s="86"/>
      <c r="P297" s="86"/>
      <c r="Q297" s="87"/>
    </row>
    <row r="298" spans="1:17" ht="45" customHeight="1">
      <c r="A298" s="81">
        <v>43</v>
      </c>
      <c r="B298" s="82"/>
      <c r="C298" s="104" t="s">
        <v>244</v>
      </c>
      <c r="D298" s="104" t="s">
        <v>165</v>
      </c>
      <c r="E298" s="84" t="s">
        <v>207</v>
      </c>
      <c r="F298" s="85"/>
      <c r="G298" s="85"/>
      <c r="H298" s="88"/>
      <c r="I298" s="85"/>
      <c r="J298" s="85"/>
      <c r="K298" s="88"/>
      <c r="L298" s="86"/>
      <c r="M298" s="86"/>
      <c r="N298" s="87"/>
      <c r="O298" s="86"/>
      <c r="P298" s="86"/>
      <c r="Q298" s="87"/>
    </row>
    <row r="299" spans="1:17" ht="14.45" customHeight="1">
      <c r="A299" s="81">
        <v>43</v>
      </c>
      <c r="B299" s="82"/>
      <c r="C299" s="104" t="s">
        <v>244</v>
      </c>
      <c r="D299" s="104" t="s">
        <v>165</v>
      </c>
      <c r="E299" s="84" t="s">
        <v>207</v>
      </c>
      <c r="F299" s="89">
        <v>239</v>
      </c>
      <c r="G299" s="89">
        <v>182</v>
      </c>
      <c r="H299" s="90">
        <v>122</v>
      </c>
      <c r="I299" s="89">
        <v>301</v>
      </c>
      <c r="J299" s="89">
        <v>230</v>
      </c>
      <c r="K299" s="90">
        <v>155</v>
      </c>
      <c r="L299" s="86"/>
      <c r="M299" s="86"/>
      <c r="N299" s="87"/>
      <c r="O299" s="86"/>
      <c r="P299" s="86"/>
      <c r="Q299" s="87"/>
    </row>
    <row r="300" spans="1:17" ht="45" customHeight="1">
      <c r="A300" s="81">
        <v>43</v>
      </c>
      <c r="B300" s="82"/>
      <c r="C300" s="104" t="s">
        <v>244</v>
      </c>
      <c r="D300" s="104" t="s">
        <v>165</v>
      </c>
      <c r="E300" s="84" t="s">
        <v>207</v>
      </c>
      <c r="F300" s="85"/>
      <c r="G300" s="85"/>
      <c r="H300" s="88"/>
      <c r="I300" s="85"/>
      <c r="J300" s="85"/>
      <c r="K300" s="88"/>
      <c r="L300" s="86"/>
      <c r="M300" s="86"/>
      <c r="N300" s="87"/>
      <c r="O300" s="86"/>
      <c r="P300" s="86"/>
      <c r="Q300" s="87"/>
    </row>
    <row r="301" spans="1:17" ht="14.45" customHeight="1">
      <c r="A301" s="81">
        <v>43</v>
      </c>
      <c r="B301" s="82"/>
      <c r="C301" s="104" t="s">
        <v>244</v>
      </c>
      <c r="D301" s="104" t="s">
        <v>165</v>
      </c>
      <c r="E301" s="84" t="s">
        <v>207</v>
      </c>
      <c r="F301" s="89">
        <v>37</v>
      </c>
      <c r="G301" s="85"/>
      <c r="H301" s="88"/>
      <c r="I301" s="89">
        <v>46</v>
      </c>
      <c r="J301" s="85"/>
      <c r="K301" s="88"/>
      <c r="L301" s="86"/>
      <c r="M301" s="86"/>
      <c r="N301" s="87"/>
      <c r="O301" s="86"/>
      <c r="P301" s="86"/>
      <c r="Q301" s="87"/>
    </row>
    <row r="302" spans="1:17" ht="24" customHeight="1">
      <c r="A302" s="91">
        <v>43</v>
      </c>
      <c r="B302" s="92"/>
      <c r="C302" s="105" t="s">
        <v>244</v>
      </c>
      <c r="D302" s="105" t="s">
        <v>165</v>
      </c>
      <c r="E302" s="94" t="s">
        <v>207</v>
      </c>
      <c r="F302" s="95" t="s">
        <v>56</v>
      </c>
      <c r="G302" s="96">
        <v>61300</v>
      </c>
      <c r="H302" s="97">
        <v>61300</v>
      </c>
      <c r="I302" s="95" t="s">
        <v>56</v>
      </c>
      <c r="J302" s="96">
        <v>77300</v>
      </c>
      <c r="K302" s="97">
        <v>77300</v>
      </c>
      <c r="L302" s="98"/>
      <c r="M302" s="98"/>
      <c r="N302" s="99"/>
      <c r="O302" s="98"/>
      <c r="P302" s="98"/>
      <c r="Q302" s="99"/>
    </row>
    <row r="303" spans="1:17" ht="14.45" customHeight="1">
      <c r="A303" s="75">
        <v>44</v>
      </c>
      <c r="B303" s="76"/>
      <c r="C303" s="103" t="s">
        <v>247</v>
      </c>
      <c r="D303" s="103" t="s">
        <v>165</v>
      </c>
      <c r="E303" s="78" t="s">
        <v>202</v>
      </c>
      <c r="F303" s="79" t="s">
        <v>50</v>
      </c>
      <c r="G303" s="79" t="s">
        <v>50</v>
      </c>
      <c r="H303" s="80" t="s">
        <v>50</v>
      </c>
      <c r="I303" s="79" t="s">
        <v>51</v>
      </c>
      <c r="J303" s="79" t="s">
        <v>51</v>
      </c>
      <c r="K303" s="80" t="s">
        <v>51</v>
      </c>
      <c r="L303" s="79" t="s">
        <v>52</v>
      </c>
      <c r="M303" s="79" t="s">
        <v>52</v>
      </c>
      <c r="N303" s="80" t="s">
        <v>52</v>
      </c>
      <c r="O303" s="79"/>
      <c r="P303" s="79"/>
      <c r="Q303" s="80"/>
    </row>
    <row r="304" spans="1:17" ht="60" customHeight="1">
      <c r="A304" s="81">
        <v>44</v>
      </c>
      <c r="B304" s="82"/>
      <c r="C304" s="104" t="s">
        <v>247</v>
      </c>
      <c r="D304" s="104" t="s">
        <v>165</v>
      </c>
      <c r="E304" s="84" t="s">
        <v>202</v>
      </c>
      <c r="F304" s="85"/>
      <c r="G304" s="86" t="s">
        <v>254</v>
      </c>
      <c r="H304" s="87" t="s">
        <v>254</v>
      </c>
      <c r="I304" s="85"/>
      <c r="J304" s="86"/>
      <c r="K304" s="87"/>
      <c r="L304" s="85"/>
      <c r="M304" s="86" t="s">
        <v>255</v>
      </c>
      <c r="N304" s="87" t="s">
        <v>255</v>
      </c>
      <c r="O304" s="86"/>
      <c r="P304" s="86"/>
      <c r="Q304" s="87"/>
    </row>
    <row r="305" spans="1:17" ht="45" customHeight="1">
      <c r="A305" s="81">
        <v>44</v>
      </c>
      <c r="B305" s="82"/>
      <c r="C305" s="104" t="s">
        <v>247</v>
      </c>
      <c r="D305" s="104" t="s">
        <v>165</v>
      </c>
      <c r="E305" s="84" t="s">
        <v>202</v>
      </c>
      <c r="F305" s="85"/>
      <c r="G305" s="85"/>
      <c r="H305" s="88"/>
      <c r="I305" s="85"/>
      <c r="J305" s="85"/>
      <c r="K305" s="88"/>
      <c r="L305" s="85"/>
      <c r="M305" s="85"/>
      <c r="N305" s="88"/>
      <c r="O305" s="86"/>
      <c r="P305" s="86"/>
      <c r="Q305" s="87"/>
    </row>
    <row r="306" spans="1:17" ht="14.45" customHeight="1">
      <c r="A306" s="81">
        <v>44</v>
      </c>
      <c r="B306" s="82"/>
      <c r="C306" s="104" t="s">
        <v>247</v>
      </c>
      <c r="D306" s="104" t="s">
        <v>165</v>
      </c>
      <c r="E306" s="84" t="s">
        <v>202</v>
      </c>
      <c r="F306" s="89">
        <v>206</v>
      </c>
      <c r="G306" s="89">
        <v>209</v>
      </c>
      <c r="H306" s="90">
        <v>106</v>
      </c>
      <c r="I306" s="89">
        <v>260</v>
      </c>
      <c r="J306" s="89">
        <v>264</v>
      </c>
      <c r="K306" s="90">
        <v>133</v>
      </c>
      <c r="L306" s="89">
        <v>206</v>
      </c>
      <c r="M306" s="89">
        <v>209</v>
      </c>
      <c r="N306" s="90">
        <v>106</v>
      </c>
      <c r="O306" s="86"/>
      <c r="P306" s="86"/>
      <c r="Q306" s="87"/>
    </row>
    <row r="307" spans="1:17" ht="45" customHeight="1">
      <c r="A307" s="81">
        <v>44</v>
      </c>
      <c r="B307" s="82"/>
      <c r="C307" s="104" t="s">
        <v>247</v>
      </c>
      <c r="D307" s="104" t="s">
        <v>165</v>
      </c>
      <c r="E307" s="84" t="s">
        <v>202</v>
      </c>
      <c r="F307" s="85"/>
      <c r="G307" s="85"/>
      <c r="H307" s="88"/>
      <c r="I307" s="85"/>
      <c r="J307" s="85"/>
      <c r="K307" s="88"/>
      <c r="L307" s="85"/>
      <c r="M307" s="85"/>
      <c r="N307" s="88"/>
      <c r="O307" s="86"/>
      <c r="P307" s="86"/>
      <c r="Q307" s="87"/>
    </row>
    <row r="308" spans="1:17" ht="14.45" customHeight="1">
      <c r="A308" s="81">
        <v>44</v>
      </c>
      <c r="B308" s="82"/>
      <c r="C308" s="104" t="s">
        <v>247</v>
      </c>
      <c r="D308" s="104" t="s">
        <v>165</v>
      </c>
      <c r="E308" s="84" t="s">
        <v>202</v>
      </c>
      <c r="F308" s="89">
        <v>38</v>
      </c>
      <c r="G308" s="85"/>
      <c r="H308" s="88"/>
      <c r="I308" s="89">
        <v>48</v>
      </c>
      <c r="J308" s="85"/>
      <c r="K308" s="88"/>
      <c r="L308" s="89">
        <v>38</v>
      </c>
      <c r="M308" s="85"/>
      <c r="N308" s="88"/>
      <c r="O308" s="86"/>
      <c r="P308" s="86"/>
      <c r="Q308" s="87"/>
    </row>
    <row r="309" spans="1:17" ht="24" customHeight="1">
      <c r="A309" s="91">
        <v>44</v>
      </c>
      <c r="B309" s="92"/>
      <c r="C309" s="105" t="s">
        <v>247</v>
      </c>
      <c r="D309" s="105" t="s">
        <v>165</v>
      </c>
      <c r="E309" s="94" t="s">
        <v>202</v>
      </c>
      <c r="F309" s="95" t="s">
        <v>56</v>
      </c>
      <c r="G309" s="96">
        <v>59800</v>
      </c>
      <c r="H309" s="97">
        <v>59800</v>
      </c>
      <c r="I309" s="95" t="s">
        <v>56</v>
      </c>
      <c r="J309" s="96">
        <v>75500</v>
      </c>
      <c r="K309" s="97">
        <v>75500</v>
      </c>
      <c r="L309" s="95" t="s">
        <v>56</v>
      </c>
      <c r="M309" s="96">
        <v>59800</v>
      </c>
      <c r="N309" s="97">
        <v>59800</v>
      </c>
      <c r="O309" s="98"/>
      <c r="P309" s="98"/>
      <c r="Q309" s="99"/>
    </row>
    <row r="310" spans="1:17" ht="14.45" customHeight="1">
      <c r="A310" s="75">
        <v>45</v>
      </c>
      <c r="B310" s="76"/>
      <c r="C310" s="106" t="s">
        <v>250</v>
      </c>
      <c r="D310" s="106" t="s">
        <v>180</v>
      </c>
      <c r="E310" s="78" t="s">
        <v>216</v>
      </c>
      <c r="F310" s="79" t="s">
        <v>50</v>
      </c>
      <c r="G310" s="79" t="s">
        <v>50</v>
      </c>
      <c r="H310" s="80" t="s">
        <v>50</v>
      </c>
      <c r="I310" s="79" t="s">
        <v>51</v>
      </c>
      <c r="J310" s="79" t="s">
        <v>51</v>
      </c>
      <c r="K310" s="80" t="s">
        <v>51</v>
      </c>
      <c r="L310" s="79"/>
      <c r="M310" s="79"/>
      <c r="N310" s="80"/>
      <c r="O310" s="79"/>
      <c r="P310" s="79"/>
      <c r="Q310" s="80"/>
    </row>
    <row r="311" spans="1:17" ht="60" customHeight="1">
      <c r="A311" s="81">
        <v>45</v>
      </c>
      <c r="B311" s="82"/>
      <c r="C311" s="107" t="s">
        <v>250</v>
      </c>
      <c r="D311" s="107" t="s">
        <v>180</v>
      </c>
      <c r="E311" s="84" t="s">
        <v>216</v>
      </c>
      <c r="F311" s="85"/>
      <c r="G311" s="86" t="s">
        <v>256</v>
      </c>
      <c r="H311" s="87" t="s">
        <v>256</v>
      </c>
      <c r="I311" s="85"/>
      <c r="J311" s="86"/>
      <c r="K311" s="87"/>
      <c r="L311" s="86"/>
      <c r="M311" s="86"/>
      <c r="N311" s="87"/>
      <c r="O311" s="86"/>
      <c r="P311" s="86"/>
      <c r="Q311" s="87"/>
    </row>
    <row r="312" spans="1:17" ht="45" customHeight="1">
      <c r="A312" s="81">
        <v>45</v>
      </c>
      <c r="B312" s="82"/>
      <c r="C312" s="107" t="s">
        <v>250</v>
      </c>
      <c r="D312" s="107" t="s">
        <v>180</v>
      </c>
      <c r="E312" s="84" t="s">
        <v>216</v>
      </c>
      <c r="F312" s="85"/>
      <c r="G312" s="85"/>
      <c r="H312" s="88"/>
      <c r="I312" s="85"/>
      <c r="J312" s="85"/>
      <c r="K312" s="88"/>
      <c r="L312" s="86"/>
      <c r="M312" s="86"/>
      <c r="N312" s="87"/>
      <c r="O312" s="86"/>
      <c r="P312" s="86"/>
      <c r="Q312" s="87"/>
    </row>
    <row r="313" spans="1:17" ht="14.45" customHeight="1">
      <c r="A313" s="81">
        <v>45</v>
      </c>
      <c r="B313" s="82"/>
      <c r="C313" s="107" t="s">
        <v>250</v>
      </c>
      <c r="D313" s="107" t="s">
        <v>180</v>
      </c>
      <c r="E313" s="84" t="s">
        <v>216</v>
      </c>
      <c r="F313" s="89">
        <v>268</v>
      </c>
      <c r="G313" s="85"/>
      <c r="H313" s="88"/>
      <c r="I313" s="89">
        <v>349</v>
      </c>
      <c r="J313" s="85"/>
      <c r="K313" s="88"/>
      <c r="L313" s="86"/>
      <c r="M313" s="86"/>
      <c r="N313" s="87"/>
      <c r="O313" s="86"/>
      <c r="P313" s="86"/>
      <c r="Q313" s="87"/>
    </row>
    <row r="314" spans="1:17" ht="45" customHeight="1">
      <c r="A314" s="81">
        <v>45</v>
      </c>
      <c r="B314" s="82"/>
      <c r="C314" s="107" t="s">
        <v>250</v>
      </c>
      <c r="D314" s="107" t="s">
        <v>180</v>
      </c>
      <c r="E314" s="84" t="s">
        <v>216</v>
      </c>
      <c r="F314" s="85"/>
      <c r="G314" s="85"/>
      <c r="H314" s="88"/>
      <c r="I314" s="85"/>
      <c r="J314" s="85"/>
      <c r="K314" s="88"/>
      <c r="L314" s="86"/>
      <c r="M314" s="86"/>
      <c r="N314" s="87"/>
      <c r="O314" s="86"/>
      <c r="P314" s="86"/>
      <c r="Q314" s="87"/>
    </row>
    <row r="315" spans="1:17" ht="14.45" customHeight="1">
      <c r="A315" s="81">
        <v>45</v>
      </c>
      <c r="B315" s="82"/>
      <c r="C315" s="107" t="s">
        <v>250</v>
      </c>
      <c r="D315" s="107" t="s">
        <v>180</v>
      </c>
      <c r="E315" s="84" t="s">
        <v>216</v>
      </c>
      <c r="F315" s="85"/>
      <c r="G315" s="85"/>
      <c r="H315" s="88"/>
      <c r="I315" s="85"/>
      <c r="J315" s="85"/>
      <c r="K315" s="88"/>
      <c r="L315" s="86"/>
      <c r="M315" s="86"/>
      <c r="N315" s="87"/>
      <c r="O315" s="86"/>
      <c r="P315" s="86"/>
      <c r="Q315" s="87"/>
    </row>
    <row r="316" spans="1:17" ht="24" customHeight="1">
      <c r="A316" s="91">
        <v>45</v>
      </c>
      <c r="B316" s="92"/>
      <c r="C316" s="108" t="s">
        <v>250</v>
      </c>
      <c r="D316" s="108" t="s">
        <v>180</v>
      </c>
      <c r="E316" s="94" t="s">
        <v>216</v>
      </c>
      <c r="F316" s="95" t="s">
        <v>56</v>
      </c>
      <c r="G316" s="96">
        <v>12500</v>
      </c>
      <c r="H316" s="97">
        <v>12500</v>
      </c>
      <c r="I316" s="95" t="s">
        <v>56</v>
      </c>
      <c r="J316" s="96">
        <v>16300</v>
      </c>
      <c r="K316" s="97">
        <v>16300</v>
      </c>
      <c r="L316" s="98"/>
      <c r="M316" s="98"/>
      <c r="N316" s="99"/>
      <c r="O316" s="98"/>
      <c r="P316" s="98"/>
      <c r="Q316" s="99"/>
    </row>
    <row r="317" spans="1:17" ht="14.45" customHeight="1">
      <c r="A317" s="75">
        <v>46</v>
      </c>
      <c r="B317" s="76"/>
      <c r="C317" s="106" t="s">
        <v>249</v>
      </c>
      <c r="D317" s="106" t="s">
        <v>180</v>
      </c>
      <c r="E317" s="78" t="s">
        <v>216</v>
      </c>
      <c r="F317" s="79" t="s">
        <v>50</v>
      </c>
      <c r="G317" s="79" t="s">
        <v>50</v>
      </c>
      <c r="H317" s="80" t="s">
        <v>50</v>
      </c>
      <c r="I317" s="79" t="s">
        <v>51</v>
      </c>
      <c r="J317" s="79" t="s">
        <v>51</v>
      </c>
      <c r="K317" s="80" t="s">
        <v>51</v>
      </c>
      <c r="L317" s="79"/>
      <c r="M317" s="79"/>
      <c r="N317" s="80"/>
      <c r="O317" s="79"/>
      <c r="P317" s="79"/>
      <c r="Q317" s="80"/>
    </row>
    <row r="318" spans="1:17" ht="60" customHeight="1">
      <c r="A318" s="81">
        <v>46</v>
      </c>
      <c r="B318" s="82"/>
      <c r="C318" s="107" t="s">
        <v>249</v>
      </c>
      <c r="D318" s="107" t="s">
        <v>180</v>
      </c>
      <c r="E318" s="84" t="s">
        <v>216</v>
      </c>
      <c r="F318" s="85"/>
      <c r="G318" s="86" t="s">
        <v>256</v>
      </c>
      <c r="H318" s="87" t="s">
        <v>256</v>
      </c>
      <c r="I318" s="85"/>
      <c r="J318" s="86"/>
      <c r="K318" s="87"/>
      <c r="L318" s="86"/>
      <c r="M318" s="86"/>
      <c r="N318" s="87"/>
      <c r="O318" s="86"/>
      <c r="P318" s="86"/>
      <c r="Q318" s="87"/>
    </row>
    <row r="319" spans="1:17" ht="45" customHeight="1">
      <c r="A319" s="81">
        <v>46</v>
      </c>
      <c r="B319" s="82"/>
      <c r="C319" s="107" t="s">
        <v>249</v>
      </c>
      <c r="D319" s="107" t="s">
        <v>180</v>
      </c>
      <c r="E319" s="84" t="s">
        <v>216</v>
      </c>
      <c r="F319" s="85"/>
      <c r="G319" s="85"/>
      <c r="H319" s="88"/>
      <c r="I319" s="85"/>
      <c r="J319" s="85"/>
      <c r="K319" s="88"/>
      <c r="L319" s="86"/>
      <c r="M319" s="86"/>
      <c r="N319" s="87"/>
      <c r="O319" s="86"/>
      <c r="P319" s="86"/>
      <c r="Q319" s="87"/>
    </row>
    <row r="320" spans="1:17" ht="14.45" customHeight="1">
      <c r="A320" s="81">
        <v>46</v>
      </c>
      <c r="B320" s="82"/>
      <c r="C320" s="107" t="s">
        <v>249</v>
      </c>
      <c r="D320" s="107" t="s">
        <v>180</v>
      </c>
      <c r="E320" s="84" t="s">
        <v>216</v>
      </c>
      <c r="F320" s="89">
        <v>268</v>
      </c>
      <c r="G320" s="85"/>
      <c r="H320" s="88"/>
      <c r="I320" s="89">
        <v>349</v>
      </c>
      <c r="J320" s="85"/>
      <c r="K320" s="88"/>
      <c r="L320" s="86"/>
      <c r="M320" s="86"/>
      <c r="N320" s="87"/>
      <c r="O320" s="86"/>
      <c r="P320" s="86"/>
      <c r="Q320" s="87"/>
    </row>
    <row r="321" spans="1:17" ht="45" customHeight="1">
      <c r="A321" s="81">
        <v>46</v>
      </c>
      <c r="B321" s="82"/>
      <c r="C321" s="107" t="s">
        <v>249</v>
      </c>
      <c r="D321" s="107" t="s">
        <v>180</v>
      </c>
      <c r="E321" s="84" t="s">
        <v>216</v>
      </c>
      <c r="F321" s="85"/>
      <c r="G321" s="85"/>
      <c r="H321" s="88"/>
      <c r="I321" s="85"/>
      <c r="J321" s="85"/>
      <c r="K321" s="88"/>
      <c r="L321" s="86"/>
      <c r="M321" s="86"/>
      <c r="N321" s="87"/>
      <c r="O321" s="86"/>
      <c r="P321" s="86"/>
      <c r="Q321" s="87"/>
    </row>
    <row r="322" spans="1:17" ht="14.45" customHeight="1">
      <c r="A322" s="81">
        <v>46</v>
      </c>
      <c r="B322" s="82"/>
      <c r="C322" s="107" t="s">
        <v>249</v>
      </c>
      <c r="D322" s="107" t="s">
        <v>180</v>
      </c>
      <c r="E322" s="84" t="s">
        <v>216</v>
      </c>
      <c r="F322" s="85"/>
      <c r="G322" s="85"/>
      <c r="H322" s="88"/>
      <c r="I322" s="85"/>
      <c r="J322" s="85"/>
      <c r="K322" s="88"/>
      <c r="L322" s="86"/>
      <c r="M322" s="86"/>
      <c r="N322" s="87"/>
      <c r="O322" s="86"/>
      <c r="P322" s="86"/>
      <c r="Q322" s="87"/>
    </row>
    <row r="323" spans="1:17" ht="24" customHeight="1">
      <c r="A323" s="91">
        <v>46</v>
      </c>
      <c r="B323" s="92"/>
      <c r="C323" s="108" t="s">
        <v>249</v>
      </c>
      <c r="D323" s="108" t="s">
        <v>180</v>
      </c>
      <c r="E323" s="94" t="s">
        <v>216</v>
      </c>
      <c r="F323" s="95" t="s">
        <v>56</v>
      </c>
      <c r="G323" s="96">
        <v>12500</v>
      </c>
      <c r="H323" s="97">
        <v>12500</v>
      </c>
      <c r="I323" s="95" t="s">
        <v>56</v>
      </c>
      <c r="J323" s="96">
        <v>16300</v>
      </c>
      <c r="K323" s="97">
        <v>16300</v>
      </c>
      <c r="L323" s="98"/>
      <c r="M323" s="98"/>
      <c r="N323" s="99"/>
      <c r="O323" s="98"/>
      <c r="P323" s="98"/>
      <c r="Q323" s="99"/>
    </row>
    <row r="324" spans="1:17" ht="14.45" customHeight="1">
      <c r="A324" s="75">
        <v>47</v>
      </c>
      <c r="B324" s="76"/>
      <c r="C324" s="106" t="s">
        <v>248</v>
      </c>
      <c r="D324" s="106" t="s">
        <v>180</v>
      </c>
      <c r="E324" s="78" t="s">
        <v>202</v>
      </c>
      <c r="F324" s="79" t="s">
        <v>50</v>
      </c>
      <c r="G324" s="79" t="s">
        <v>50</v>
      </c>
      <c r="H324" s="80" t="s">
        <v>50</v>
      </c>
      <c r="I324" s="79" t="s">
        <v>51</v>
      </c>
      <c r="J324" s="79" t="s">
        <v>51</v>
      </c>
      <c r="K324" s="80" t="s">
        <v>51</v>
      </c>
      <c r="L324" s="79"/>
      <c r="M324" s="79"/>
      <c r="N324" s="80"/>
      <c r="O324" s="79"/>
      <c r="P324" s="79"/>
      <c r="Q324" s="80"/>
    </row>
    <row r="325" spans="1:17" ht="60" customHeight="1">
      <c r="A325" s="81">
        <v>47</v>
      </c>
      <c r="B325" s="82"/>
      <c r="C325" s="107" t="s">
        <v>248</v>
      </c>
      <c r="D325" s="107" t="s">
        <v>180</v>
      </c>
      <c r="E325" s="84" t="s">
        <v>202</v>
      </c>
      <c r="F325" s="85"/>
      <c r="G325" s="86" t="s">
        <v>257</v>
      </c>
      <c r="H325" s="87" t="s">
        <v>257</v>
      </c>
      <c r="I325" s="85"/>
      <c r="J325" s="86"/>
      <c r="K325" s="87"/>
      <c r="L325" s="86"/>
      <c r="M325" s="86"/>
      <c r="N325" s="87"/>
      <c r="O325" s="86"/>
      <c r="P325" s="86"/>
      <c r="Q325" s="87"/>
    </row>
    <row r="326" spans="1:17" ht="45" customHeight="1">
      <c r="A326" s="81">
        <v>47</v>
      </c>
      <c r="B326" s="82"/>
      <c r="C326" s="107" t="s">
        <v>248</v>
      </c>
      <c r="D326" s="107" t="s">
        <v>180</v>
      </c>
      <c r="E326" s="84" t="s">
        <v>202</v>
      </c>
      <c r="F326" s="85"/>
      <c r="G326" s="85"/>
      <c r="H326" s="88"/>
      <c r="I326" s="85"/>
      <c r="J326" s="85"/>
      <c r="K326" s="88"/>
      <c r="L326" s="86"/>
      <c r="M326" s="86"/>
      <c r="N326" s="87"/>
      <c r="O326" s="86"/>
      <c r="P326" s="86"/>
      <c r="Q326" s="87"/>
    </row>
    <row r="327" spans="1:17" ht="14.45" customHeight="1">
      <c r="A327" s="81">
        <v>47</v>
      </c>
      <c r="B327" s="82"/>
      <c r="C327" s="107" t="s">
        <v>248</v>
      </c>
      <c r="D327" s="107" t="s">
        <v>180</v>
      </c>
      <c r="E327" s="84" t="s">
        <v>202</v>
      </c>
      <c r="F327" s="89">
        <v>180</v>
      </c>
      <c r="G327" s="89">
        <v>54</v>
      </c>
      <c r="H327" s="88"/>
      <c r="I327" s="89">
        <v>234</v>
      </c>
      <c r="J327" s="89">
        <v>70</v>
      </c>
      <c r="K327" s="88"/>
      <c r="L327" s="86"/>
      <c r="M327" s="86"/>
      <c r="N327" s="87"/>
      <c r="O327" s="86"/>
      <c r="P327" s="86"/>
      <c r="Q327" s="87"/>
    </row>
    <row r="328" spans="1:17" ht="45" customHeight="1">
      <c r="A328" s="81">
        <v>47</v>
      </c>
      <c r="B328" s="82"/>
      <c r="C328" s="107" t="s">
        <v>248</v>
      </c>
      <c r="D328" s="107" t="s">
        <v>180</v>
      </c>
      <c r="E328" s="84" t="s">
        <v>202</v>
      </c>
      <c r="F328" s="85"/>
      <c r="G328" s="85"/>
      <c r="H328" s="88"/>
      <c r="I328" s="85"/>
      <c r="J328" s="85"/>
      <c r="K328" s="88"/>
      <c r="L328" s="86"/>
      <c r="M328" s="86"/>
      <c r="N328" s="87"/>
      <c r="O328" s="86"/>
      <c r="P328" s="86"/>
      <c r="Q328" s="87"/>
    </row>
    <row r="329" spans="1:17" ht="14.45" customHeight="1">
      <c r="A329" s="81">
        <v>47</v>
      </c>
      <c r="B329" s="82"/>
      <c r="C329" s="107" t="s">
        <v>248</v>
      </c>
      <c r="D329" s="107" t="s">
        <v>180</v>
      </c>
      <c r="E329" s="84" t="s">
        <v>202</v>
      </c>
      <c r="F329" s="85"/>
      <c r="G329" s="85"/>
      <c r="H329" s="88"/>
      <c r="I329" s="85"/>
      <c r="J329" s="85"/>
      <c r="K329" s="88"/>
      <c r="L329" s="86"/>
      <c r="M329" s="86"/>
      <c r="N329" s="87"/>
      <c r="O329" s="86"/>
      <c r="P329" s="86"/>
      <c r="Q329" s="87"/>
    </row>
    <row r="330" spans="1:17" ht="24" customHeight="1">
      <c r="A330" s="91">
        <v>47</v>
      </c>
      <c r="B330" s="92"/>
      <c r="C330" s="108" t="s">
        <v>248</v>
      </c>
      <c r="D330" s="108" t="s">
        <v>180</v>
      </c>
      <c r="E330" s="94" t="s">
        <v>202</v>
      </c>
      <c r="F330" s="95" t="s">
        <v>56</v>
      </c>
      <c r="G330" s="96">
        <v>11200</v>
      </c>
      <c r="H330" s="97">
        <v>11200</v>
      </c>
      <c r="I330" s="95" t="s">
        <v>56</v>
      </c>
      <c r="J330" s="96">
        <v>14600</v>
      </c>
      <c r="K330" s="97">
        <v>14600</v>
      </c>
      <c r="L330" s="98"/>
      <c r="M330" s="98"/>
      <c r="N330" s="99"/>
      <c r="O330" s="98"/>
      <c r="P330" s="98"/>
      <c r="Q330" s="99"/>
    </row>
    <row r="331" spans="1:17" ht="14.45" customHeight="1">
      <c r="A331" s="75">
        <v>48</v>
      </c>
      <c r="B331" s="76"/>
      <c r="C331" s="106" t="s">
        <v>251</v>
      </c>
      <c r="D331" s="106" t="s">
        <v>180</v>
      </c>
      <c r="E331" s="78" t="s">
        <v>207</v>
      </c>
      <c r="F331" s="79" t="s">
        <v>50</v>
      </c>
      <c r="G331" s="79" t="s">
        <v>50</v>
      </c>
      <c r="H331" s="80" t="s">
        <v>50</v>
      </c>
      <c r="I331" s="79" t="s">
        <v>51</v>
      </c>
      <c r="J331" s="79" t="s">
        <v>51</v>
      </c>
      <c r="K331" s="80" t="s">
        <v>51</v>
      </c>
      <c r="L331" s="79"/>
      <c r="M331" s="79"/>
      <c r="N331" s="80"/>
      <c r="O331" s="79"/>
      <c r="P331" s="79"/>
      <c r="Q331" s="80"/>
    </row>
    <row r="332" spans="1:17" ht="60" customHeight="1">
      <c r="A332" s="81">
        <v>48</v>
      </c>
      <c r="B332" s="82"/>
      <c r="C332" s="107" t="s">
        <v>251</v>
      </c>
      <c r="D332" s="107" t="s">
        <v>180</v>
      </c>
      <c r="E332" s="84" t="s">
        <v>207</v>
      </c>
      <c r="F332" s="85"/>
      <c r="G332" s="86" t="s">
        <v>256</v>
      </c>
      <c r="H332" s="87" t="s">
        <v>256</v>
      </c>
      <c r="I332" s="85"/>
      <c r="J332" s="86"/>
      <c r="K332" s="87"/>
      <c r="L332" s="86"/>
      <c r="M332" s="86"/>
      <c r="N332" s="87"/>
      <c r="O332" s="86"/>
      <c r="P332" s="86"/>
      <c r="Q332" s="87"/>
    </row>
    <row r="333" spans="1:17" ht="45" customHeight="1">
      <c r="A333" s="81">
        <v>48</v>
      </c>
      <c r="B333" s="82"/>
      <c r="C333" s="107" t="s">
        <v>251</v>
      </c>
      <c r="D333" s="107" t="s">
        <v>180</v>
      </c>
      <c r="E333" s="84" t="s">
        <v>207</v>
      </c>
      <c r="F333" s="85"/>
      <c r="G333" s="85"/>
      <c r="H333" s="88"/>
      <c r="I333" s="85"/>
      <c r="J333" s="85"/>
      <c r="K333" s="88"/>
      <c r="L333" s="86"/>
      <c r="M333" s="86"/>
      <c r="N333" s="87"/>
      <c r="O333" s="86"/>
      <c r="P333" s="86"/>
      <c r="Q333" s="87"/>
    </row>
    <row r="334" spans="1:17" ht="14.45" customHeight="1">
      <c r="A334" s="81">
        <v>48</v>
      </c>
      <c r="B334" s="82"/>
      <c r="C334" s="107" t="s">
        <v>251</v>
      </c>
      <c r="D334" s="107" t="s">
        <v>180</v>
      </c>
      <c r="E334" s="84" t="s">
        <v>207</v>
      </c>
      <c r="F334" s="89">
        <v>161</v>
      </c>
      <c r="G334" s="89">
        <v>65</v>
      </c>
      <c r="H334" s="88"/>
      <c r="I334" s="89">
        <v>209</v>
      </c>
      <c r="J334" s="89">
        <v>85</v>
      </c>
      <c r="K334" s="88"/>
      <c r="L334" s="86"/>
      <c r="M334" s="86"/>
      <c r="N334" s="87"/>
      <c r="O334" s="86"/>
      <c r="P334" s="86"/>
      <c r="Q334" s="87"/>
    </row>
    <row r="335" spans="1:17" ht="45" customHeight="1">
      <c r="A335" s="81">
        <v>48</v>
      </c>
      <c r="B335" s="82"/>
      <c r="C335" s="107" t="s">
        <v>251</v>
      </c>
      <c r="D335" s="107" t="s">
        <v>180</v>
      </c>
      <c r="E335" s="84" t="s">
        <v>207</v>
      </c>
      <c r="F335" s="85"/>
      <c r="G335" s="85"/>
      <c r="H335" s="88"/>
      <c r="I335" s="85"/>
      <c r="J335" s="85"/>
      <c r="K335" s="88"/>
      <c r="L335" s="86"/>
      <c r="M335" s="86"/>
      <c r="N335" s="87"/>
      <c r="O335" s="86"/>
      <c r="P335" s="86"/>
      <c r="Q335" s="87"/>
    </row>
    <row r="336" spans="1:17" ht="14.45" customHeight="1">
      <c r="A336" s="81">
        <v>48</v>
      </c>
      <c r="B336" s="82"/>
      <c r="C336" s="107" t="s">
        <v>251</v>
      </c>
      <c r="D336" s="107" t="s">
        <v>180</v>
      </c>
      <c r="E336" s="84" t="s">
        <v>207</v>
      </c>
      <c r="F336" s="85"/>
      <c r="G336" s="85"/>
      <c r="H336" s="88"/>
      <c r="I336" s="85"/>
      <c r="J336" s="85"/>
      <c r="K336" s="88"/>
      <c r="L336" s="86"/>
      <c r="M336" s="86"/>
      <c r="N336" s="87"/>
      <c r="O336" s="86"/>
      <c r="P336" s="86"/>
      <c r="Q336" s="87"/>
    </row>
    <row r="337" spans="1:17" ht="24" customHeight="1">
      <c r="A337" s="91">
        <v>48</v>
      </c>
      <c r="B337" s="92"/>
      <c r="C337" s="108" t="s">
        <v>251</v>
      </c>
      <c r="D337" s="108" t="s">
        <v>180</v>
      </c>
      <c r="E337" s="94" t="s">
        <v>207</v>
      </c>
      <c r="F337" s="95" t="s">
        <v>56</v>
      </c>
      <c r="G337" s="96">
        <v>10900</v>
      </c>
      <c r="H337" s="97">
        <v>10900</v>
      </c>
      <c r="I337" s="95" t="s">
        <v>56</v>
      </c>
      <c r="J337" s="96">
        <v>14200</v>
      </c>
      <c r="K337" s="97">
        <v>14200</v>
      </c>
      <c r="L337" s="98"/>
      <c r="M337" s="98"/>
      <c r="N337" s="99"/>
      <c r="O337" s="98"/>
      <c r="P337" s="98"/>
      <c r="Q337" s="99"/>
    </row>
    <row r="338" spans="1:17" ht="14.45" customHeight="1">
      <c r="A338" s="75">
        <v>49</v>
      </c>
      <c r="B338" s="76"/>
      <c r="C338" s="106" t="s">
        <v>253</v>
      </c>
      <c r="D338" s="106" t="s">
        <v>180</v>
      </c>
      <c r="E338" s="78" t="s">
        <v>207</v>
      </c>
      <c r="F338" s="79" t="s">
        <v>50</v>
      </c>
      <c r="G338" s="79" t="s">
        <v>50</v>
      </c>
      <c r="H338" s="80" t="s">
        <v>50</v>
      </c>
      <c r="I338" s="79" t="s">
        <v>51</v>
      </c>
      <c r="J338" s="79" t="s">
        <v>51</v>
      </c>
      <c r="K338" s="80" t="s">
        <v>51</v>
      </c>
      <c r="L338" s="79"/>
      <c r="M338" s="79"/>
      <c r="N338" s="80"/>
      <c r="O338" s="79"/>
      <c r="P338" s="79"/>
      <c r="Q338" s="80"/>
    </row>
    <row r="339" spans="1:17" ht="60" customHeight="1">
      <c r="A339" s="81">
        <v>49</v>
      </c>
      <c r="B339" s="82"/>
      <c r="C339" s="107" t="s">
        <v>253</v>
      </c>
      <c r="D339" s="107" t="s">
        <v>180</v>
      </c>
      <c r="E339" s="84" t="s">
        <v>207</v>
      </c>
      <c r="F339" s="85"/>
      <c r="G339" s="86" t="s">
        <v>258</v>
      </c>
      <c r="H339" s="87" t="s">
        <v>258</v>
      </c>
      <c r="I339" s="85"/>
      <c r="J339" s="86"/>
      <c r="K339" s="87"/>
      <c r="L339" s="86"/>
      <c r="M339" s="86"/>
      <c r="N339" s="87"/>
      <c r="O339" s="86"/>
      <c r="P339" s="86"/>
      <c r="Q339" s="87"/>
    </row>
    <row r="340" spans="1:17" ht="45" customHeight="1">
      <c r="A340" s="81">
        <v>49</v>
      </c>
      <c r="B340" s="82"/>
      <c r="C340" s="107" t="s">
        <v>253</v>
      </c>
      <c r="D340" s="107" t="s">
        <v>180</v>
      </c>
      <c r="E340" s="84" t="s">
        <v>207</v>
      </c>
      <c r="F340" s="85"/>
      <c r="G340" s="85"/>
      <c r="H340" s="88"/>
      <c r="I340" s="85"/>
      <c r="J340" s="85"/>
      <c r="K340" s="88"/>
      <c r="L340" s="86"/>
      <c r="M340" s="86"/>
      <c r="N340" s="87"/>
      <c r="O340" s="86"/>
      <c r="P340" s="86"/>
      <c r="Q340" s="87"/>
    </row>
    <row r="341" spans="1:17" ht="14.45" customHeight="1">
      <c r="A341" s="81">
        <v>49</v>
      </c>
      <c r="B341" s="82"/>
      <c r="C341" s="107" t="s">
        <v>253</v>
      </c>
      <c r="D341" s="107" t="s">
        <v>180</v>
      </c>
      <c r="E341" s="84" t="s">
        <v>207</v>
      </c>
      <c r="F341" s="89">
        <v>107</v>
      </c>
      <c r="G341" s="89">
        <v>98</v>
      </c>
      <c r="H341" s="88"/>
      <c r="I341" s="89">
        <v>140</v>
      </c>
      <c r="J341" s="89">
        <v>127</v>
      </c>
      <c r="K341" s="88"/>
      <c r="L341" s="86"/>
      <c r="M341" s="86"/>
      <c r="N341" s="87"/>
      <c r="O341" s="86"/>
      <c r="P341" s="86"/>
      <c r="Q341" s="87"/>
    </row>
    <row r="342" spans="1:17" ht="45" customHeight="1">
      <c r="A342" s="81">
        <v>49</v>
      </c>
      <c r="B342" s="82"/>
      <c r="C342" s="107" t="s">
        <v>253</v>
      </c>
      <c r="D342" s="107" t="s">
        <v>180</v>
      </c>
      <c r="E342" s="84" t="s">
        <v>207</v>
      </c>
      <c r="F342" s="85"/>
      <c r="G342" s="85"/>
      <c r="H342" s="88"/>
      <c r="I342" s="85"/>
      <c r="J342" s="85"/>
      <c r="K342" s="88"/>
      <c r="L342" s="86"/>
      <c r="M342" s="86"/>
      <c r="N342" s="87"/>
      <c r="O342" s="86"/>
      <c r="P342" s="86"/>
      <c r="Q342" s="87"/>
    </row>
    <row r="343" spans="1:17" ht="14.45" customHeight="1">
      <c r="A343" s="81">
        <v>49</v>
      </c>
      <c r="B343" s="82"/>
      <c r="C343" s="107" t="s">
        <v>253</v>
      </c>
      <c r="D343" s="107" t="s">
        <v>180</v>
      </c>
      <c r="E343" s="84" t="s">
        <v>207</v>
      </c>
      <c r="F343" s="85"/>
      <c r="G343" s="85"/>
      <c r="H343" s="88"/>
      <c r="I343" s="85"/>
      <c r="J343" s="85"/>
      <c r="K343" s="88"/>
      <c r="L343" s="86"/>
      <c r="M343" s="86"/>
      <c r="N343" s="87"/>
      <c r="O343" s="86"/>
      <c r="P343" s="86"/>
      <c r="Q343" s="87"/>
    </row>
    <row r="344" spans="1:17" ht="24" customHeight="1">
      <c r="A344" s="91">
        <v>49</v>
      </c>
      <c r="B344" s="92"/>
      <c r="C344" s="108" t="s">
        <v>253</v>
      </c>
      <c r="D344" s="108" t="s">
        <v>180</v>
      </c>
      <c r="E344" s="94" t="s">
        <v>207</v>
      </c>
      <c r="F344" s="95" t="s">
        <v>56</v>
      </c>
      <c r="G344" s="96">
        <v>10100</v>
      </c>
      <c r="H344" s="97">
        <v>10100</v>
      </c>
      <c r="I344" s="95" t="s">
        <v>56</v>
      </c>
      <c r="J344" s="96">
        <v>13200</v>
      </c>
      <c r="K344" s="97">
        <v>13200</v>
      </c>
      <c r="L344" s="98"/>
      <c r="M344" s="98"/>
      <c r="N344" s="99"/>
      <c r="O344" s="98"/>
      <c r="P344" s="98"/>
      <c r="Q344" s="99"/>
    </row>
    <row r="345" spans="1:17" ht="14.45" customHeight="1">
      <c r="A345" s="75">
        <v>50</v>
      </c>
      <c r="B345" s="76"/>
      <c r="C345" s="106" t="s">
        <v>252</v>
      </c>
      <c r="D345" s="106" t="s">
        <v>180</v>
      </c>
      <c r="E345" s="78" t="s">
        <v>207</v>
      </c>
      <c r="F345" s="79" t="s">
        <v>50</v>
      </c>
      <c r="G345" s="79" t="s">
        <v>50</v>
      </c>
      <c r="H345" s="80" t="s">
        <v>50</v>
      </c>
      <c r="I345" s="79" t="s">
        <v>51</v>
      </c>
      <c r="J345" s="79" t="s">
        <v>51</v>
      </c>
      <c r="K345" s="80" t="s">
        <v>51</v>
      </c>
      <c r="L345" s="79"/>
      <c r="M345" s="79"/>
      <c r="N345" s="80"/>
      <c r="O345" s="79"/>
      <c r="P345" s="79"/>
      <c r="Q345" s="80"/>
    </row>
    <row r="346" spans="1:17" ht="60" customHeight="1">
      <c r="A346" s="81">
        <v>50</v>
      </c>
      <c r="B346" s="82"/>
      <c r="C346" s="107" t="s">
        <v>252</v>
      </c>
      <c r="D346" s="107" t="s">
        <v>180</v>
      </c>
      <c r="E346" s="84" t="s">
        <v>207</v>
      </c>
      <c r="F346" s="85"/>
      <c r="G346" s="86" t="s">
        <v>259</v>
      </c>
      <c r="H346" s="87" t="s">
        <v>259</v>
      </c>
      <c r="I346" s="85"/>
      <c r="J346" s="86"/>
      <c r="K346" s="87"/>
      <c r="L346" s="86"/>
      <c r="M346" s="86"/>
      <c r="N346" s="87"/>
      <c r="O346" s="86"/>
      <c r="P346" s="86"/>
      <c r="Q346" s="87"/>
    </row>
    <row r="347" spans="1:17" ht="45" customHeight="1">
      <c r="A347" s="81">
        <v>50</v>
      </c>
      <c r="B347" s="82"/>
      <c r="C347" s="107" t="s">
        <v>252</v>
      </c>
      <c r="D347" s="107" t="s">
        <v>180</v>
      </c>
      <c r="E347" s="84" t="s">
        <v>207</v>
      </c>
      <c r="F347" s="85"/>
      <c r="G347" s="85"/>
      <c r="H347" s="88"/>
      <c r="I347" s="85"/>
      <c r="J347" s="85"/>
      <c r="K347" s="88"/>
      <c r="L347" s="86"/>
      <c r="M347" s="86"/>
      <c r="N347" s="87"/>
      <c r="O347" s="86"/>
      <c r="P347" s="86"/>
      <c r="Q347" s="87"/>
    </row>
    <row r="348" spans="1:17" ht="14.45" customHeight="1">
      <c r="A348" s="81">
        <v>50</v>
      </c>
      <c r="B348" s="82"/>
      <c r="C348" s="107" t="s">
        <v>252</v>
      </c>
      <c r="D348" s="107" t="s">
        <v>180</v>
      </c>
      <c r="E348" s="84" t="s">
        <v>207</v>
      </c>
      <c r="F348" s="89">
        <v>107</v>
      </c>
      <c r="G348" s="89">
        <v>98</v>
      </c>
      <c r="H348" s="88"/>
      <c r="I348" s="89">
        <v>140</v>
      </c>
      <c r="J348" s="89">
        <v>127</v>
      </c>
      <c r="K348" s="88"/>
      <c r="L348" s="86"/>
      <c r="M348" s="86"/>
      <c r="N348" s="87"/>
      <c r="O348" s="86"/>
      <c r="P348" s="86"/>
      <c r="Q348" s="87"/>
    </row>
    <row r="349" spans="1:17" ht="45" customHeight="1">
      <c r="A349" s="81">
        <v>50</v>
      </c>
      <c r="B349" s="82"/>
      <c r="C349" s="107" t="s">
        <v>252</v>
      </c>
      <c r="D349" s="107" t="s">
        <v>180</v>
      </c>
      <c r="E349" s="84" t="s">
        <v>207</v>
      </c>
      <c r="F349" s="85"/>
      <c r="G349" s="85"/>
      <c r="H349" s="88"/>
      <c r="I349" s="85"/>
      <c r="J349" s="85"/>
      <c r="K349" s="88"/>
      <c r="L349" s="86"/>
      <c r="M349" s="86"/>
      <c r="N349" s="87"/>
      <c r="O349" s="86"/>
      <c r="P349" s="86"/>
      <c r="Q349" s="87"/>
    </row>
    <row r="350" spans="1:17" ht="14.45" customHeight="1">
      <c r="A350" s="81">
        <v>50</v>
      </c>
      <c r="B350" s="82"/>
      <c r="C350" s="107" t="s">
        <v>252</v>
      </c>
      <c r="D350" s="107" t="s">
        <v>180</v>
      </c>
      <c r="E350" s="84" t="s">
        <v>207</v>
      </c>
      <c r="F350" s="85"/>
      <c r="G350" s="85"/>
      <c r="H350" s="88"/>
      <c r="I350" s="85"/>
      <c r="J350" s="85"/>
      <c r="K350" s="88"/>
      <c r="L350" s="86"/>
      <c r="M350" s="86"/>
      <c r="N350" s="87"/>
      <c r="O350" s="86"/>
      <c r="P350" s="86"/>
      <c r="Q350" s="87"/>
    </row>
    <row r="351" spans="1:17" ht="24" customHeight="1">
      <c r="A351" s="91">
        <v>50</v>
      </c>
      <c r="B351" s="92"/>
      <c r="C351" s="108" t="s">
        <v>252</v>
      </c>
      <c r="D351" s="108" t="s">
        <v>180</v>
      </c>
      <c r="E351" s="94" t="s">
        <v>207</v>
      </c>
      <c r="F351" s="95" t="s">
        <v>56</v>
      </c>
      <c r="G351" s="96">
        <v>10100</v>
      </c>
      <c r="H351" s="97">
        <v>10100</v>
      </c>
      <c r="I351" s="95" t="s">
        <v>56</v>
      </c>
      <c r="J351" s="96">
        <v>13200</v>
      </c>
      <c r="K351" s="97">
        <v>13200</v>
      </c>
      <c r="L351" s="98"/>
      <c r="M351" s="98"/>
      <c r="N351" s="99"/>
      <c r="O351" s="98"/>
      <c r="P351" s="98"/>
      <c r="Q351" s="99"/>
    </row>
    <row r="352" spans="1:17" ht="14.45" customHeight="1">
      <c r="A352" s="75">
        <v>51</v>
      </c>
      <c r="B352" s="76"/>
      <c r="C352" s="106" t="s">
        <v>254</v>
      </c>
      <c r="D352" s="106" t="s">
        <v>180</v>
      </c>
      <c r="E352" s="78" t="s">
        <v>202</v>
      </c>
      <c r="F352" s="79" t="s">
        <v>50</v>
      </c>
      <c r="G352" s="79" t="s">
        <v>50</v>
      </c>
      <c r="H352" s="80" t="s">
        <v>50</v>
      </c>
      <c r="I352" s="79" t="s">
        <v>51</v>
      </c>
      <c r="J352" s="79" t="s">
        <v>51</v>
      </c>
      <c r="K352" s="80" t="s">
        <v>51</v>
      </c>
      <c r="L352" s="79"/>
      <c r="M352" s="79"/>
      <c r="N352" s="80"/>
      <c r="O352" s="79"/>
      <c r="P352" s="79"/>
      <c r="Q352" s="80"/>
    </row>
    <row r="353" spans="1:17" ht="60" customHeight="1">
      <c r="A353" s="81">
        <v>51</v>
      </c>
      <c r="B353" s="82"/>
      <c r="C353" s="107" t="s">
        <v>254</v>
      </c>
      <c r="D353" s="107" t="s">
        <v>180</v>
      </c>
      <c r="E353" s="84" t="s">
        <v>202</v>
      </c>
      <c r="F353" s="85"/>
      <c r="G353" s="86" t="s">
        <v>260</v>
      </c>
      <c r="H353" s="87" t="s">
        <v>260</v>
      </c>
      <c r="I353" s="85"/>
      <c r="J353" s="86"/>
      <c r="K353" s="87"/>
      <c r="L353" s="86"/>
      <c r="M353" s="86"/>
      <c r="N353" s="87"/>
      <c r="O353" s="86"/>
      <c r="P353" s="86"/>
      <c r="Q353" s="87"/>
    </row>
    <row r="354" spans="1:17" ht="45" customHeight="1">
      <c r="A354" s="81">
        <v>51</v>
      </c>
      <c r="B354" s="82"/>
      <c r="C354" s="107" t="s">
        <v>254</v>
      </c>
      <c r="D354" s="107" t="s">
        <v>180</v>
      </c>
      <c r="E354" s="84" t="s">
        <v>202</v>
      </c>
      <c r="F354" s="85"/>
      <c r="G354" s="85"/>
      <c r="H354" s="88"/>
      <c r="I354" s="85"/>
      <c r="J354" s="85"/>
      <c r="K354" s="88"/>
      <c r="L354" s="86"/>
      <c r="M354" s="86"/>
      <c r="N354" s="87"/>
      <c r="O354" s="86"/>
      <c r="P354" s="86"/>
      <c r="Q354" s="87"/>
    </row>
    <row r="355" spans="1:17" ht="14.45" customHeight="1">
      <c r="A355" s="81">
        <v>51</v>
      </c>
      <c r="B355" s="82"/>
      <c r="C355" s="107" t="s">
        <v>254</v>
      </c>
      <c r="D355" s="107" t="s">
        <v>180</v>
      </c>
      <c r="E355" s="84" t="s">
        <v>202</v>
      </c>
      <c r="F355" s="89">
        <v>88</v>
      </c>
      <c r="G355" s="89">
        <v>109</v>
      </c>
      <c r="H355" s="88"/>
      <c r="I355" s="89">
        <v>115</v>
      </c>
      <c r="J355" s="89">
        <v>142</v>
      </c>
      <c r="K355" s="88"/>
      <c r="L355" s="86"/>
      <c r="M355" s="86"/>
      <c r="N355" s="87"/>
      <c r="O355" s="86"/>
      <c r="P355" s="86"/>
      <c r="Q355" s="87"/>
    </row>
    <row r="356" spans="1:17" ht="45" customHeight="1">
      <c r="A356" s="81">
        <v>51</v>
      </c>
      <c r="B356" s="82"/>
      <c r="C356" s="107" t="s">
        <v>254</v>
      </c>
      <c r="D356" s="107" t="s">
        <v>180</v>
      </c>
      <c r="E356" s="84" t="s">
        <v>202</v>
      </c>
      <c r="F356" s="85"/>
      <c r="G356" s="85"/>
      <c r="H356" s="88"/>
      <c r="I356" s="85"/>
      <c r="J356" s="85"/>
      <c r="K356" s="88"/>
      <c r="L356" s="86"/>
      <c r="M356" s="86"/>
      <c r="N356" s="87"/>
      <c r="O356" s="86"/>
      <c r="P356" s="86"/>
      <c r="Q356" s="87"/>
    </row>
    <row r="357" spans="1:17" ht="14.45" customHeight="1">
      <c r="A357" s="81">
        <v>51</v>
      </c>
      <c r="B357" s="82"/>
      <c r="C357" s="107" t="s">
        <v>254</v>
      </c>
      <c r="D357" s="107" t="s">
        <v>180</v>
      </c>
      <c r="E357" s="84" t="s">
        <v>202</v>
      </c>
      <c r="F357" s="85"/>
      <c r="G357" s="85"/>
      <c r="H357" s="88"/>
      <c r="I357" s="85"/>
      <c r="J357" s="85"/>
      <c r="K357" s="88"/>
      <c r="L357" s="86"/>
      <c r="M357" s="86"/>
      <c r="N357" s="87"/>
      <c r="O357" s="86"/>
      <c r="P357" s="86"/>
      <c r="Q357" s="87"/>
    </row>
    <row r="358" spans="1:17" ht="24" customHeight="1">
      <c r="A358" s="91">
        <v>51</v>
      </c>
      <c r="B358" s="92"/>
      <c r="C358" s="108" t="s">
        <v>254</v>
      </c>
      <c r="D358" s="108" t="s">
        <v>180</v>
      </c>
      <c r="E358" s="94" t="s">
        <v>202</v>
      </c>
      <c r="F358" s="95" t="s">
        <v>56</v>
      </c>
      <c r="G358" s="96">
        <v>9830</v>
      </c>
      <c r="H358" s="97">
        <v>9830</v>
      </c>
      <c r="I358" s="95" t="s">
        <v>56</v>
      </c>
      <c r="J358" s="96">
        <v>12800</v>
      </c>
      <c r="K358" s="97">
        <v>12800</v>
      </c>
      <c r="L358" s="98"/>
      <c r="M358" s="98"/>
      <c r="N358" s="99"/>
      <c r="O358" s="98"/>
      <c r="P358" s="98"/>
      <c r="Q358" s="99"/>
    </row>
    <row r="359" spans="1:17" ht="14.45" customHeight="1">
      <c r="A359" s="75">
        <v>52</v>
      </c>
      <c r="B359" s="76"/>
      <c r="C359" s="106" t="s">
        <v>255</v>
      </c>
      <c r="D359" s="106" t="s">
        <v>180</v>
      </c>
      <c r="E359" s="78" t="s">
        <v>202</v>
      </c>
      <c r="F359" s="79" t="s">
        <v>50</v>
      </c>
      <c r="G359" s="79" t="s">
        <v>50</v>
      </c>
      <c r="H359" s="80" t="s">
        <v>50</v>
      </c>
      <c r="I359" s="79" t="s">
        <v>51</v>
      </c>
      <c r="J359" s="79" t="s">
        <v>51</v>
      </c>
      <c r="K359" s="80" t="s">
        <v>51</v>
      </c>
      <c r="L359" s="79"/>
      <c r="M359" s="79"/>
      <c r="N359" s="80"/>
      <c r="O359" s="79"/>
      <c r="P359" s="79"/>
      <c r="Q359" s="80"/>
    </row>
    <row r="360" spans="1:17" ht="60" customHeight="1">
      <c r="A360" s="81">
        <v>52</v>
      </c>
      <c r="B360" s="82"/>
      <c r="C360" s="107" t="s">
        <v>255</v>
      </c>
      <c r="D360" s="107" t="s">
        <v>180</v>
      </c>
      <c r="E360" s="84" t="s">
        <v>202</v>
      </c>
      <c r="F360" s="85"/>
      <c r="G360" s="86" t="s">
        <v>260</v>
      </c>
      <c r="H360" s="87" t="s">
        <v>260</v>
      </c>
      <c r="I360" s="85"/>
      <c r="J360" s="86"/>
      <c r="K360" s="87"/>
      <c r="L360" s="86"/>
      <c r="M360" s="86"/>
      <c r="N360" s="87"/>
      <c r="O360" s="86"/>
      <c r="P360" s="86"/>
      <c r="Q360" s="87"/>
    </row>
    <row r="361" spans="1:17" ht="45" customHeight="1">
      <c r="A361" s="81">
        <v>52</v>
      </c>
      <c r="B361" s="82"/>
      <c r="C361" s="107" t="s">
        <v>255</v>
      </c>
      <c r="D361" s="107" t="s">
        <v>180</v>
      </c>
      <c r="E361" s="84" t="s">
        <v>202</v>
      </c>
      <c r="F361" s="85"/>
      <c r="G361" s="85"/>
      <c r="H361" s="88"/>
      <c r="I361" s="85"/>
      <c r="J361" s="85"/>
      <c r="K361" s="88"/>
      <c r="L361" s="86"/>
      <c r="M361" s="86"/>
      <c r="N361" s="87"/>
      <c r="O361" s="86"/>
      <c r="P361" s="86"/>
      <c r="Q361" s="87"/>
    </row>
    <row r="362" spans="1:17" ht="14.45" customHeight="1">
      <c r="A362" s="81">
        <v>52</v>
      </c>
      <c r="B362" s="82"/>
      <c r="C362" s="107" t="s">
        <v>255</v>
      </c>
      <c r="D362" s="107" t="s">
        <v>180</v>
      </c>
      <c r="E362" s="84" t="s">
        <v>202</v>
      </c>
      <c r="F362" s="89">
        <v>88</v>
      </c>
      <c r="G362" s="89">
        <v>109</v>
      </c>
      <c r="H362" s="88"/>
      <c r="I362" s="89">
        <v>115</v>
      </c>
      <c r="J362" s="89">
        <v>142</v>
      </c>
      <c r="K362" s="88"/>
      <c r="L362" s="86"/>
      <c r="M362" s="86"/>
      <c r="N362" s="87"/>
      <c r="O362" s="86"/>
      <c r="P362" s="86"/>
      <c r="Q362" s="87"/>
    </row>
    <row r="363" spans="1:17" ht="45" customHeight="1">
      <c r="A363" s="81">
        <v>52</v>
      </c>
      <c r="B363" s="82"/>
      <c r="C363" s="107" t="s">
        <v>255</v>
      </c>
      <c r="D363" s="107" t="s">
        <v>180</v>
      </c>
      <c r="E363" s="84" t="s">
        <v>202</v>
      </c>
      <c r="F363" s="85"/>
      <c r="G363" s="85"/>
      <c r="H363" s="88"/>
      <c r="I363" s="85"/>
      <c r="J363" s="85"/>
      <c r="K363" s="88"/>
      <c r="L363" s="86"/>
      <c r="M363" s="86"/>
      <c r="N363" s="87"/>
      <c r="O363" s="86"/>
      <c r="P363" s="86"/>
      <c r="Q363" s="87"/>
    </row>
    <row r="364" spans="1:17" ht="14.45" customHeight="1">
      <c r="A364" s="81">
        <v>52</v>
      </c>
      <c r="B364" s="82"/>
      <c r="C364" s="107" t="s">
        <v>255</v>
      </c>
      <c r="D364" s="107" t="s">
        <v>180</v>
      </c>
      <c r="E364" s="84" t="s">
        <v>202</v>
      </c>
      <c r="F364" s="85"/>
      <c r="G364" s="85"/>
      <c r="H364" s="88"/>
      <c r="I364" s="85"/>
      <c r="J364" s="85"/>
      <c r="K364" s="88"/>
      <c r="L364" s="86"/>
      <c r="M364" s="86"/>
      <c r="N364" s="87"/>
      <c r="O364" s="86"/>
      <c r="P364" s="86"/>
      <c r="Q364" s="87"/>
    </row>
    <row r="365" spans="1:17" ht="24" customHeight="1">
      <c r="A365" s="91">
        <v>52</v>
      </c>
      <c r="B365" s="92"/>
      <c r="C365" s="108" t="s">
        <v>255</v>
      </c>
      <c r="D365" s="108" t="s">
        <v>180</v>
      </c>
      <c r="E365" s="94" t="s">
        <v>202</v>
      </c>
      <c r="F365" s="95" t="s">
        <v>56</v>
      </c>
      <c r="G365" s="96">
        <v>9830</v>
      </c>
      <c r="H365" s="97">
        <v>9830</v>
      </c>
      <c r="I365" s="95" t="s">
        <v>56</v>
      </c>
      <c r="J365" s="96">
        <v>12800</v>
      </c>
      <c r="K365" s="97">
        <v>12800</v>
      </c>
      <c r="L365" s="98"/>
      <c r="M365" s="98"/>
      <c r="N365" s="99"/>
      <c r="O365" s="98"/>
      <c r="P365" s="98"/>
      <c r="Q365" s="99"/>
    </row>
    <row r="366" spans="1:17" ht="14.45" customHeight="1">
      <c r="A366" s="75">
        <v>53</v>
      </c>
      <c r="B366" s="76"/>
      <c r="C366" s="106" t="s">
        <v>259</v>
      </c>
      <c r="D366" s="106" t="s">
        <v>180</v>
      </c>
      <c r="E366" s="78" t="s">
        <v>207</v>
      </c>
      <c r="F366" s="79" t="s">
        <v>50</v>
      </c>
      <c r="G366" s="79" t="s">
        <v>50</v>
      </c>
      <c r="H366" s="80" t="s">
        <v>50</v>
      </c>
      <c r="I366" s="79"/>
      <c r="J366" s="79"/>
      <c r="K366" s="80"/>
      <c r="L366" s="79"/>
      <c r="M366" s="79"/>
      <c r="N366" s="80"/>
      <c r="O366" s="79"/>
      <c r="P366" s="79"/>
      <c r="Q366" s="80"/>
    </row>
    <row r="367" spans="1:17" ht="60" customHeight="1">
      <c r="A367" s="81">
        <v>53</v>
      </c>
      <c r="B367" s="82"/>
      <c r="C367" s="107" t="s">
        <v>259</v>
      </c>
      <c r="D367" s="107" t="s">
        <v>180</v>
      </c>
      <c r="E367" s="84" t="s">
        <v>207</v>
      </c>
      <c r="F367" s="85"/>
      <c r="G367" s="86" t="s">
        <v>261</v>
      </c>
      <c r="H367" s="87" t="s">
        <v>261</v>
      </c>
      <c r="I367" s="86"/>
      <c r="J367" s="86"/>
      <c r="K367" s="87"/>
      <c r="L367" s="86"/>
      <c r="M367" s="86"/>
      <c r="N367" s="87"/>
      <c r="O367" s="86"/>
      <c r="P367" s="86"/>
      <c r="Q367" s="87"/>
    </row>
    <row r="368" spans="1:17" ht="45" customHeight="1">
      <c r="A368" s="81">
        <v>53</v>
      </c>
      <c r="B368" s="82"/>
      <c r="C368" s="107" t="s">
        <v>259</v>
      </c>
      <c r="D368" s="107" t="s">
        <v>180</v>
      </c>
      <c r="E368" s="84" t="s">
        <v>207</v>
      </c>
      <c r="F368" s="85"/>
      <c r="G368" s="85"/>
      <c r="H368" s="88"/>
      <c r="I368" s="86"/>
      <c r="J368" s="86"/>
      <c r="K368" s="87"/>
      <c r="L368" s="86"/>
      <c r="M368" s="86"/>
      <c r="N368" s="87"/>
      <c r="O368" s="86"/>
      <c r="P368" s="86"/>
      <c r="Q368" s="87"/>
    </row>
    <row r="369" spans="1:17" ht="14.45" customHeight="1">
      <c r="A369" s="81">
        <v>53</v>
      </c>
      <c r="B369" s="82"/>
      <c r="C369" s="107" t="s">
        <v>259</v>
      </c>
      <c r="D369" s="107" t="s">
        <v>180</v>
      </c>
      <c r="E369" s="84" t="s">
        <v>207</v>
      </c>
      <c r="F369" s="89">
        <v>33</v>
      </c>
      <c r="G369" s="89">
        <v>51</v>
      </c>
      <c r="H369" s="88"/>
      <c r="I369" s="86"/>
      <c r="J369" s="86"/>
      <c r="K369" s="87"/>
      <c r="L369" s="86"/>
      <c r="M369" s="86"/>
      <c r="N369" s="87"/>
      <c r="O369" s="86"/>
      <c r="P369" s="86"/>
      <c r="Q369" s="87"/>
    </row>
    <row r="370" spans="1:17" ht="45" customHeight="1">
      <c r="A370" s="81">
        <v>53</v>
      </c>
      <c r="B370" s="82"/>
      <c r="C370" s="107" t="s">
        <v>259</v>
      </c>
      <c r="D370" s="107" t="s">
        <v>180</v>
      </c>
      <c r="E370" s="84" t="s">
        <v>207</v>
      </c>
      <c r="F370" s="85"/>
      <c r="G370" s="85"/>
      <c r="H370" s="88"/>
      <c r="I370" s="86"/>
      <c r="J370" s="86"/>
      <c r="K370" s="87"/>
      <c r="L370" s="86"/>
      <c r="M370" s="86"/>
      <c r="N370" s="87"/>
      <c r="O370" s="86"/>
      <c r="P370" s="86"/>
      <c r="Q370" s="87"/>
    </row>
    <row r="371" spans="1:17" ht="14.45" customHeight="1">
      <c r="A371" s="81">
        <v>53</v>
      </c>
      <c r="B371" s="82"/>
      <c r="C371" s="107" t="s">
        <v>259</v>
      </c>
      <c r="D371" s="107" t="s">
        <v>180</v>
      </c>
      <c r="E371" s="84" t="s">
        <v>207</v>
      </c>
      <c r="F371" s="85"/>
      <c r="G371" s="85"/>
      <c r="H371" s="88"/>
      <c r="I371" s="86"/>
      <c r="J371" s="86"/>
      <c r="K371" s="87"/>
      <c r="L371" s="86"/>
      <c r="M371" s="86"/>
      <c r="N371" s="87"/>
      <c r="O371" s="86"/>
      <c r="P371" s="86"/>
      <c r="Q371" s="87"/>
    </row>
    <row r="372" spans="1:17" ht="24" customHeight="1">
      <c r="A372" s="91">
        <v>53</v>
      </c>
      <c r="B372" s="92"/>
      <c r="C372" s="108" t="s">
        <v>259</v>
      </c>
      <c r="D372" s="108" t="s">
        <v>180</v>
      </c>
      <c r="E372" s="94" t="s">
        <v>207</v>
      </c>
      <c r="F372" s="95" t="s">
        <v>56</v>
      </c>
      <c r="G372" s="96">
        <v>2960</v>
      </c>
      <c r="H372" s="97">
        <v>2960</v>
      </c>
      <c r="I372" s="98"/>
      <c r="J372" s="98"/>
      <c r="K372" s="99"/>
      <c r="L372" s="98"/>
      <c r="M372" s="98"/>
      <c r="N372" s="99"/>
      <c r="O372" s="98"/>
      <c r="P372" s="98"/>
      <c r="Q372" s="99"/>
    </row>
    <row r="373" spans="1:17" ht="14.45" customHeight="1">
      <c r="A373" s="75">
        <v>54</v>
      </c>
      <c r="B373" s="76"/>
      <c r="C373" s="106" t="s">
        <v>258</v>
      </c>
      <c r="D373" s="106" t="s">
        <v>180</v>
      </c>
      <c r="E373" s="78" t="s">
        <v>207</v>
      </c>
      <c r="F373" s="79" t="s">
        <v>50</v>
      </c>
      <c r="G373" s="79" t="s">
        <v>50</v>
      </c>
      <c r="H373" s="80" t="s">
        <v>50</v>
      </c>
      <c r="I373" s="79"/>
      <c r="J373" s="79"/>
      <c r="K373" s="80"/>
      <c r="L373" s="79"/>
      <c r="M373" s="79"/>
      <c r="N373" s="80"/>
      <c r="O373" s="79"/>
      <c r="P373" s="79"/>
      <c r="Q373" s="80"/>
    </row>
    <row r="374" spans="1:17" ht="60" customHeight="1">
      <c r="A374" s="81">
        <v>54</v>
      </c>
      <c r="B374" s="82"/>
      <c r="C374" s="107" t="s">
        <v>258</v>
      </c>
      <c r="D374" s="107" t="s">
        <v>180</v>
      </c>
      <c r="E374" s="84" t="s">
        <v>207</v>
      </c>
      <c r="F374" s="85"/>
      <c r="G374" s="86" t="s">
        <v>261</v>
      </c>
      <c r="H374" s="87" t="s">
        <v>261</v>
      </c>
      <c r="I374" s="86"/>
      <c r="J374" s="86"/>
      <c r="K374" s="87"/>
      <c r="L374" s="86"/>
      <c r="M374" s="86"/>
      <c r="N374" s="87"/>
      <c r="O374" s="86"/>
      <c r="P374" s="86"/>
      <c r="Q374" s="87"/>
    </row>
    <row r="375" spans="1:17" ht="45" customHeight="1">
      <c r="A375" s="81">
        <v>54</v>
      </c>
      <c r="B375" s="82"/>
      <c r="C375" s="107" t="s">
        <v>258</v>
      </c>
      <c r="D375" s="107" t="s">
        <v>180</v>
      </c>
      <c r="E375" s="84" t="s">
        <v>207</v>
      </c>
      <c r="F375" s="85"/>
      <c r="G375" s="85"/>
      <c r="H375" s="88"/>
      <c r="I375" s="86"/>
      <c r="J375" s="86"/>
      <c r="K375" s="87"/>
      <c r="L375" s="86"/>
      <c r="M375" s="86"/>
      <c r="N375" s="87"/>
      <c r="O375" s="86"/>
      <c r="P375" s="86"/>
      <c r="Q375" s="87"/>
    </row>
    <row r="376" spans="1:17" ht="14.45" customHeight="1">
      <c r="A376" s="81">
        <v>54</v>
      </c>
      <c r="B376" s="82"/>
      <c r="C376" s="107" t="s">
        <v>258</v>
      </c>
      <c r="D376" s="107" t="s">
        <v>180</v>
      </c>
      <c r="E376" s="84" t="s">
        <v>207</v>
      </c>
      <c r="F376" s="89">
        <v>33</v>
      </c>
      <c r="G376" s="89">
        <v>51</v>
      </c>
      <c r="H376" s="88"/>
      <c r="I376" s="86"/>
      <c r="J376" s="86"/>
      <c r="K376" s="87"/>
      <c r="L376" s="86"/>
      <c r="M376" s="86"/>
      <c r="N376" s="87"/>
      <c r="O376" s="86"/>
      <c r="P376" s="86"/>
      <c r="Q376" s="87"/>
    </row>
    <row r="377" spans="1:17" ht="45" customHeight="1">
      <c r="A377" s="81">
        <v>54</v>
      </c>
      <c r="B377" s="82"/>
      <c r="C377" s="107" t="s">
        <v>258</v>
      </c>
      <c r="D377" s="107" t="s">
        <v>180</v>
      </c>
      <c r="E377" s="84" t="s">
        <v>207</v>
      </c>
      <c r="F377" s="85"/>
      <c r="G377" s="85"/>
      <c r="H377" s="88"/>
      <c r="I377" s="86"/>
      <c r="J377" s="86"/>
      <c r="K377" s="87"/>
      <c r="L377" s="86"/>
      <c r="M377" s="86"/>
      <c r="N377" s="87"/>
      <c r="O377" s="86"/>
      <c r="P377" s="86"/>
      <c r="Q377" s="87"/>
    </row>
    <row r="378" spans="1:17" ht="14.45" customHeight="1">
      <c r="A378" s="81">
        <v>54</v>
      </c>
      <c r="B378" s="82"/>
      <c r="C378" s="107" t="s">
        <v>258</v>
      </c>
      <c r="D378" s="107" t="s">
        <v>180</v>
      </c>
      <c r="E378" s="84" t="s">
        <v>207</v>
      </c>
      <c r="F378" s="85"/>
      <c r="G378" s="85"/>
      <c r="H378" s="88"/>
      <c r="I378" s="86"/>
      <c r="J378" s="86"/>
      <c r="K378" s="87"/>
      <c r="L378" s="86"/>
      <c r="M378" s="86"/>
      <c r="N378" s="87"/>
      <c r="O378" s="86"/>
      <c r="P378" s="86"/>
      <c r="Q378" s="87"/>
    </row>
    <row r="379" spans="1:17" ht="24" customHeight="1">
      <c r="A379" s="91">
        <v>54</v>
      </c>
      <c r="B379" s="92"/>
      <c r="C379" s="108" t="s">
        <v>258</v>
      </c>
      <c r="D379" s="108" t="s">
        <v>180</v>
      </c>
      <c r="E379" s="94" t="s">
        <v>207</v>
      </c>
      <c r="F379" s="95" t="s">
        <v>56</v>
      </c>
      <c r="G379" s="96">
        <v>2960</v>
      </c>
      <c r="H379" s="97">
        <v>2960</v>
      </c>
      <c r="I379" s="98"/>
      <c r="J379" s="98"/>
      <c r="K379" s="99"/>
      <c r="L379" s="98"/>
      <c r="M379" s="98"/>
      <c r="N379" s="99"/>
      <c r="O379" s="98"/>
      <c r="P379" s="98"/>
      <c r="Q379" s="99"/>
    </row>
    <row r="380" spans="1:17" ht="14.45" customHeight="1">
      <c r="A380" s="75">
        <v>55</v>
      </c>
      <c r="B380" s="76"/>
      <c r="C380" s="106" t="s">
        <v>260</v>
      </c>
      <c r="D380" s="106" t="s">
        <v>180</v>
      </c>
      <c r="E380" s="78" t="s">
        <v>202</v>
      </c>
      <c r="F380" s="79" t="s">
        <v>50</v>
      </c>
      <c r="G380" s="79" t="s">
        <v>50</v>
      </c>
      <c r="H380" s="80" t="s">
        <v>50</v>
      </c>
      <c r="I380" s="79" t="s">
        <v>51</v>
      </c>
      <c r="J380" s="79" t="s">
        <v>51</v>
      </c>
      <c r="K380" s="80" t="s">
        <v>51</v>
      </c>
      <c r="L380" s="79"/>
      <c r="M380" s="79"/>
      <c r="N380" s="80"/>
      <c r="O380" s="79"/>
      <c r="P380" s="79"/>
      <c r="Q380" s="80"/>
    </row>
    <row r="381" spans="1:17" ht="60" customHeight="1">
      <c r="A381" s="81">
        <v>55</v>
      </c>
      <c r="B381" s="82"/>
      <c r="C381" s="107" t="s">
        <v>260</v>
      </c>
      <c r="D381" s="107" t="s">
        <v>180</v>
      </c>
      <c r="E381" s="84" t="s">
        <v>202</v>
      </c>
      <c r="F381" s="85"/>
      <c r="G381" s="86" t="s">
        <v>262</v>
      </c>
      <c r="H381" s="87" t="s">
        <v>262</v>
      </c>
      <c r="I381" s="85"/>
      <c r="J381" s="86" t="s">
        <v>262</v>
      </c>
      <c r="K381" s="87" t="s">
        <v>262</v>
      </c>
      <c r="L381" s="86"/>
      <c r="M381" s="86"/>
      <c r="N381" s="87"/>
      <c r="O381" s="86"/>
      <c r="P381" s="86"/>
      <c r="Q381" s="87"/>
    </row>
    <row r="382" spans="1:17" ht="45" customHeight="1">
      <c r="A382" s="81">
        <v>55</v>
      </c>
      <c r="B382" s="82"/>
      <c r="C382" s="107" t="s">
        <v>260</v>
      </c>
      <c r="D382" s="107" t="s">
        <v>180</v>
      </c>
      <c r="E382" s="84" t="s">
        <v>202</v>
      </c>
      <c r="F382" s="85"/>
      <c r="G382" s="85"/>
      <c r="H382" s="88"/>
      <c r="I382" s="85"/>
      <c r="J382" s="85"/>
      <c r="K382" s="88"/>
      <c r="L382" s="86"/>
      <c r="M382" s="86"/>
      <c r="N382" s="87"/>
      <c r="O382" s="86"/>
      <c r="P382" s="86"/>
      <c r="Q382" s="87"/>
    </row>
    <row r="383" spans="1:17" ht="14.45" customHeight="1">
      <c r="A383" s="81">
        <v>55</v>
      </c>
      <c r="B383" s="82"/>
      <c r="C383" s="107" t="s">
        <v>260</v>
      </c>
      <c r="D383" s="107" t="s">
        <v>180</v>
      </c>
      <c r="E383" s="84" t="s">
        <v>202</v>
      </c>
      <c r="F383" s="89">
        <v>27</v>
      </c>
      <c r="G383" s="89">
        <v>57</v>
      </c>
      <c r="H383" s="88"/>
      <c r="I383" s="89">
        <v>27</v>
      </c>
      <c r="J383" s="89">
        <v>57</v>
      </c>
      <c r="K383" s="88"/>
      <c r="L383" s="86"/>
      <c r="M383" s="86"/>
      <c r="N383" s="87"/>
      <c r="O383" s="86"/>
      <c r="P383" s="86"/>
      <c r="Q383" s="87"/>
    </row>
    <row r="384" spans="1:17" ht="45" customHeight="1">
      <c r="A384" s="81">
        <v>55</v>
      </c>
      <c r="B384" s="82"/>
      <c r="C384" s="107" t="s">
        <v>260</v>
      </c>
      <c r="D384" s="107" t="s">
        <v>180</v>
      </c>
      <c r="E384" s="84" t="s">
        <v>202</v>
      </c>
      <c r="F384" s="85"/>
      <c r="G384" s="85"/>
      <c r="H384" s="88"/>
      <c r="I384" s="85"/>
      <c r="J384" s="85"/>
      <c r="K384" s="88"/>
      <c r="L384" s="86"/>
      <c r="M384" s="86"/>
      <c r="N384" s="87"/>
      <c r="O384" s="86"/>
      <c r="P384" s="86"/>
      <c r="Q384" s="87"/>
    </row>
    <row r="385" spans="1:17" ht="14.45" customHeight="1">
      <c r="A385" s="81">
        <v>55</v>
      </c>
      <c r="B385" s="82"/>
      <c r="C385" s="107" t="s">
        <v>260</v>
      </c>
      <c r="D385" s="107" t="s">
        <v>180</v>
      </c>
      <c r="E385" s="84" t="s">
        <v>202</v>
      </c>
      <c r="F385" s="85"/>
      <c r="G385" s="85"/>
      <c r="H385" s="88"/>
      <c r="I385" s="85"/>
      <c r="J385" s="85"/>
      <c r="K385" s="88"/>
      <c r="L385" s="86"/>
      <c r="M385" s="86"/>
      <c r="N385" s="87"/>
      <c r="O385" s="86"/>
      <c r="P385" s="86"/>
      <c r="Q385" s="87"/>
    </row>
    <row r="386" spans="1:17" ht="24" customHeight="1">
      <c r="A386" s="91">
        <v>55</v>
      </c>
      <c r="B386" s="92"/>
      <c r="C386" s="108" t="s">
        <v>260</v>
      </c>
      <c r="D386" s="108" t="s">
        <v>180</v>
      </c>
      <c r="E386" s="94" t="s">
        <v>202</v>
      </c>
      <c r="F386" s="95" t="s">
        <v>56</v>
      </c>
      <c r="G386" s="96">
        <v>2960</v>
      </c>
      <c r="H386" s="97">
        <v>2960</v>
      </c>
      <c r="I386" s="95" t="s">
        <v>56</v>
      </c>
      <c r="J386" s="96">
        <v>2960</v>
      </c>
      <c r="K386" s="97">
        <v>2960</v>
      </c>
      <c r="L386" s="98"/>
      <c r="M386" s="98"/>
      <c r="N386" s="99"/>
      <c r="O386" s="98"/>
      <c r="P386" s="98"/>
      <c r="Q386" s="99"/>
    </row>
    <row r="387" spans="1:17" ht="14.45" customHeight="1">
      <c r="A387" s="75">
        <v>56</v>
      </c>
      <c r="B387" s="76"/>
      <c r="C387" s="106" t="s">
        <v>257</v>
      </c>
      <c r="D387" s="106" t="s">
        <v>180</v>
      </c>
      <c r="E387" s="78" t="s">
        <v>202</v>
      </c>
      <c r="F387" s="79" t="s">
        <v>50</v>
      </c>
      <c r="G387" s="79" t="s">
        <v>50</v>
      </c>
      <c r="H387" s="80" t="s">
        <v>50</v>
      </c>
      <c r="I387" s="79"/>
      <c r="J387" s="79"/>
      <c r="K387" s="80"/>
      <c r="L387" s="79"/>
      <c r="M387" s="79"/>
      <c r="N387" s="80"/>
      <c r="O387" s="79"/>
      <c r="P387" s="79"/>
      <c r="Q387" s="80"/>
    </row>
    <row r="388" spans="1:17" ht="60" customHeight="1">
      <c r="A388" s="81">
        <v>56</v>
      </c>
      <c r="B388" s="82"/>
      <c r="C388" s="107" t="s">
        <v>257</v>
      </c>
      <c r="D388" s="107" t="s">
        <v>180</v>
      </c>
      <c r="E388" s="84" t="s">
        <v>202</v>
      </c>
      <c r="F388" s="85"/>
      <c r="G388" s="86" t="s">
        <v>263</v>
      </c>
      <c r="H388" s="87" t="s">
        <v>263</v>
      </c>
      <c r="I388" s="86"/>
      <c r="J388" s="86"/>
      <c r="K388" s="87"/>
      <c r="L388" s="86"/>
      <c r="M388" s="86"/>
      <c r="N388" s="87"/>
      <c r="O388" s="86"/>
      <c r="P388" s="86"/>
      <c r="Q388" s="87"/>
    </row>
    <row r="389" spans="1:17" ht="45" customHeight="1">
      <c r="A389" s="81">
        <v>56</v>
      </c>
      <c r="B389" s="82"/>
      <c r="C389" s="107" t="s">
        <v>257</v>
      </c>
      <c r="D389" s="107" t="s">
        <v>180</v>
      </c>
      <c r="E389" s="84" t="s">
        <v>202</v>
      </c>
      <c r="F389" s="85"/>
      <c r="G389" s="85"/>
      <c r="H389" s="88"/>
      <c r="I389" s="86"/>
      <c r="J389" s="86"/>
      <c r="K389" s="87"/>
      <c r="L389" s="86"/>
      <c r="M389" s="86"/>
      <c r="N389" s="87"/>
      <c r="O389" s="86"/>
      <c r="P389" s="86"/>
      <c r="Q389" s="87"/>
    </row>
    <row r="390" spans="1:17" ht="14.45" customHeight="1">
      <c r="A390" s="81">
        <v>56</v>
      </c>
      <c r="B390" s="82"/>
      <c r="C390" s="107" t="s">
        <v>257</v>
      </c>
      <c r="D390" s="107" t="s">
        <v>180</v>
      </c>
      <c r="E390" s="84" t="s">
        <v>202</v>
      </c>
      <c r="F390" s="89">
        <v>55</v>
      </c>
      <c r="G390" s="89">
        <v>28</v>
      </c>
      <c r="H390" s="88"/>
      <c r="I390" s="86"/>
      <c r="J390" s="86"/>
      <c r="K390" s="87"/>
      <c r="L390" s="86"/>
      <c r="M390" s="86"/>
      <c r="N390" s="87"/>
      <c r="O390" s="86"/>
      <c r="P390" s="86"/>
      <c r="Q390" s="87"/>
    </row>
    <row r="391" spans="1:17" ht="45" customHeight="1">
      <c r="A391" s="81">
        <v>56</v>
      </c>
      <c r="B391" s="82"/>
      <c r="C391" s="107" t="s">
        <v>257</v>
      </c>
      <c r="D391" s="107" t="s">
        <v>180</v>
      </c>
      <c r="E391" s="84" t="s">
        <v>202</v>
      </c>
      <c r="F391" s="85"/>
      <c r="G391" s="85"/>
      <c r="H391" s="88"/>
      <c r="I391" s="86"/>
      <c r="J391" s="86"/>
      <c r="K391" s="87"/>
      <c r="L391" s="86"/>
      <c r="M391" s="86"/>
      <c r="N391" s="87"/>
      <c r="O391" s="86"/>
      <c r="P391" s="86"/>
      <c r="Q391" s="87"/>
    </row>
    <row r="392" spans="1:17" ht="14.45" customHeight="1">
      <c r="A392" s="81">
        <v>56</v>
      </c>
      <c r="B392" s="82"/>
      <c r="C392" s="107" t="s">
        <v>257</v>
      </c>
      <c r="D392" s="107" t="s">
        <v>180</v>
      </c>
      <c r="E392" s="84" t="s">
        <v>202</v>
      </c>
      <c r="F392" s="85"/>
      <c r="G392" s="85"/>
      <c r="H392" s="88"/>
      <c r="I392" s="86"/>
      <c r="J392" s="86"/>
      <c r="K392" s="87"/>
      <c r="L392" s="86"/>
      <c r="M392" s="86"/>
      <c r="N392" s="87"/>
      <c r="O392" s="86"/>
      <c r="P392" s="86"/>
      <c r="Q392" s="87"/>
    </row>
    <row r="393" spans="1:17" ht="24" customHeight="1" thickBot="1">
      <c r="A393" s="91">
        <v>56</v>
      </c>
      <c r="B393" s="92"/>
      <c r="C393" s="108" t="s">
        <v>257</v>
      </c>
      <c r="D393" s="108" t="s">
        <v>180</v>
      </c>
      <c r="E393" s="94" t="s">
        <v>202</v>
      </c>
      <c r="F393" s="95" t="s">
        <v>56</v>
      </c>
      <c r="G393" s="96">
        <v>2920</v>
      </c>
      <c r="H393" s="97">
        <v>2920</v>
      </c>
      <c r="I393" s="98"/>
      <c r="J393" s="98"/>
      <c r="K393" s="99"/>
      <c r="L393" s="98"/>
      <c r="M393" s="98"/>
      <c r="N393" s="99"/>
      <c r="O393" s="98"/>
      <c r="P393" s="98"/>
      <c r="Q393" s="99"/>
    </row>
    <row r="394" spans="1:17" ht="14.45" customHeight="1" thickTop="1">
      <c r="A394" s="137">
        <v>57</v>
      </c>
      <c r="B394" s="138"/>
      <c r="C394" s="139" t="s">
        <v>256</v>
      </c>
      <c r="D394" s="139" t="s">
        <v>264</v>
      </c>
      <c r="E394" s="140" t="s">
        <v>216</v>
      </c>
      <c r="F394" s="141" t="s">
        <v>50</v>
      </c>
      <c r="G394" s="141" t="s">
        <v>50</v>
      </c>
      <c r="H394" s="142" t="s">
        <v>50</v>
      </c>
      <c r="I394" s="79"/>
      <c r="J394" s="79"/>
      <c r="K394" s="80"/>
      <c r="L394" s="79"/>
      <c r="M394" s="79"/>
      <c r="N394" s="80"/>
      <c r="O394" s="79"/>
      <c r="P394" s="79"/>
      <c r="Q394" s="80"/>
    </row>
    <row r="395" spans="1:17" ht="60" customHeight="1">
      <c r="A395" s="81">
        <v>57</v>
      </c>
      <c r="B395" s="82"/>
      <c r="C395" s="143" t="s">
        <v>256</v>
      </c>
      <c r="D395" s="143" t="s">
        <v>264</v>
      </c>
      <c r="E395" s="84" t="s">
        <v>216</v>
      </c>
      <c r="F395" s="85"/>
      <c r="G395" s="86" t="s">
        <v>265</v>
      </c>
      <c r="H395" s="87" t="s">
        <v>265</v>
      </c>
      <c r="I395" s="86"/>
      <c r="J395" s="86"/>
      <c r="K395" s="87"/>
      <c r="L395" s="86"/>
      <c r="M395" s="86"/>
      <c r="N395" s="87"/>
      <c r="O395" s="86"/>
      <c r="P395" s="86"/>
      <c r="Q395" s="87"/>
    </row>
    <row r="396" spans="1:17" ht="45" customHeight="1">
      <c r="A396" s="81">
        <v>57</v>
      </c>
      <c r="B396" s="82"/>
      <c r="C396" s="143" t="s">
        <v>256</v>
      </c>
      <c r="D396" s="143" t="s">
        <v>264</v>
      </c>
      <c r="E396" s="84" t="s">
        <v>216</v>
      </c>
      <c r="F396" s="85"/>
      <c r="G396" s="85"/>
      <c r="H396" s="88"/>
      <c r="I396" s="86"/>
      <c r="J396" s="86"/>
      <c r="K396" s="87"/>
      <c r="L396" s="86"/>
      <c r="M396" s="86"/>
      <c r="N396" s="87"/>
      <c r="O396" s="86"/>
      <c r="P396" s="86"/>
      <c r="Q396" s="87"/>
    </row>
    <row r="397" spans="1:17" ht="14.45" customHeight="1">
      <c r="A397" s="81">
        <v>57</v>
      </c>
      <c r="B397" s="82"/>
      <c r="C397" s="143" t="s">
        <v>256</v>
      </c>
      <c r="D397" s="143" t="s">
        <v>264</v>
      </c>
      <c r="E397" s="84" t="s">
        <v>216</v>
      </c>
      <c r="F397" s="89">
        <v>82</v>
      </c>
      <c r="G397" s="85"/>
      <c r="H397" s="88"/>
      <c r="I397" s="86"/>
      <c r="J397" s="86"/>
      <c r="K397" s="87"/>
      <c r="L397" s="86"/>
      <c r="M397" s="86"/>
      <c r="N397" s="87"/>
      <c r="O397" s="86"/>
      <c r="P397" s="86"/>
      <c r="Q397" s="87"/>
    </row>
    <row r="398" spans="1:17" ht="45" customHeight="1">
      <c r="A398" s="81">
        <v>57</v>
      </c>
      <c r="B398" s="82"/>
      <c r="C398" s="143" t="s">
        <v>256</v>
      </c>
      <c r="D398" s="143" t="s">
        <v>264</v>
      </c>
      <c r="E398" s="84" t="s">
        <v>216</v>
      </c>
      <c r="F398" s="85"/>
      <c r="G398" s="85"/>
      <c r="H398" s="88"/>
      <c r="I398" s="86"/>
      <c r="J398" s="86"/>
      <c r="K398" s="87"/>
      <c r="L398" s="86"/>
      <c r="M398" s="86"/>
      <c r="N398" s="87"/>
      <c r="O398" s="86"/>
      <c r="P398" s="86"/>
      <c r="Q398" s="87"/>
    </row>
    <row r="399" spans="1:17" ht="14.45" customHeight="1">
      <c r="A399" s="81">
        <v>57</v>
      </c>
      <c r="B399" s="82"/>
      <c r="C399" s="143" t="s">
        <v>256</v>
      </c>
      <c r="D399" s="143" t="s">
        <v>264</v>
      </c>
      <c r="E399" s="84" t="s">
        <v>216</v>
      </c>
      <c r="F399" s="85"/>
      <c r="G399" s="85"/>
      <c r="H399" s="88"/>
      <c r="I399" s="86"/>
      <c r="J399" s="86"/>
      <c r="K399" s="87"/>
      <c r="L399" s="86"/>
      <c r="M399" s="86"/>
      <c r="N399" s="87"/>
      <c r="O399" s="86"/>
      <c r="P399" s="86"/>
      <c r="Q399" s="87"/>
    </row>
    <row r="400" spans="1:17" ht="24" customHeight="1" thickBot="1">
      <c r="A400" s="91">
        <v>57</v>
      </c>
      <c r="B400" s="92"/>
      <c r="C400" s="144" t="s">
        <v>256</v>
      </c>
      <c r="D400" s="144" t="s">
        <v>264</v>
      </c>
      <c r="E400" s="94" t="s">
        <v>216</v>
      </c>
      <c r="F400" s="95" t="s">
        <v>56</v>
      </c>
      <c r="G400" s="96">
        <v>2890</v>
      </c>
      <c r="H400" s="97">
        <v>2890</v>
      </c>
      <c r="I400" s="98"/>
      <c r="J400" s="98"/>
      <c r="K400" s="99"/>
      <c r="L400" s="98"/>
      <c r="M400" s="98"/>
      <c r="N400" s="99"/>
      <c r="O400" s="98"/>
      <c r="P400" s="98"/>
      <c r="Q400" s="99"/>
    </row>
    <row r="401" s="11" customFormat="1" ht="14.45" customHeight="1" thickTop="1"/>
    <row r="402" s="11" customFormat="1" ht="60" customHeight="1"/>
    <row r="403" s="11" customFormat="1" ht="45" customHeight="1"/>
    <row r="404" s="11" customFormat="1" ht="14.45" customHeight="1"/>
    <row r="405" s="11" customFormat="1" ht="45" customHeight="1"/>
    <row r="406" s="11" customFormat="1" ht="14.45" customHeight="1"/>
    <row r="407" s="11" customFormat="1" ht="24" customHeight="1"/>
    <row r="408" s="11" customFormat="1" ht="14.45" customHeight="1"/>
    <row r="409" s="11" customFormat="1" ht="60" customHeight="1"/>
    <row r="410" s="11" customFormat="1" ht="45" customHeight="1"/>
    <row r="411" s="11" customFormat="1" ht="14.45" customHeight="1"/>
    <row r="412" s="11" customFormat="1" ht="45" customHeight="1"/>
    <row r="413" s="11" customFormat="1" ht="14.45" customHeight="1"/>
    <row r="414" s="11" customFormat="1" ht="24" customHeight="1"/>
    <row r="415" s="11" customFormat="1" ht="14.45" customHeight="1"/>
    <row r="416" s="11" customFormat="1" ht="60" customHeight="1"/>
    <row r="417" s="11" customFormat="1" ht="45" customHeight="1"/>
    <row r="418" s="11" customFormat="1" ht="14.45" customHeight="1"/>
    <row r="419" s="11" customFormat="1" ht="45" customHeight="1"/>
    <row r="420" s="11" customFormat="1" ht="14.45" customHeight="1"/>
    <row r="421" s="11" customFormat="1" ht="24" customHeight="1"/>
    <row r="422" s="11" customFormat="1" ht="14.45" customHeight="1"/>
    <row r="423" s="11" customFormat="1" ht="60" customHeight="1"/>
    <row r="424" s="11" customFormat="1" ht="45" customHeight="1"/>
    <row r="425" s="11" customFormat="1" ht="14.45" customHeight="1"/>
    <row r="426" s="11" customFormat="1" ht="45" customHeight="1"/>
    <row r="427" s="11" customFormat="1" ht="14.45" customHeight="1"/>
    <row r="428" s="11" customFormat="1" ht="24" customHeight="1"/>
    <row r="429" s="11" customFormat="1" ht="14.45" customHeight="1"/>
    <row r="430" s="11" customFormat="1" ht="60" customHeight="1"/>
    <row r="431" s="11" customFormat="1" ht="45" customHeight="1"/>
    <row r="432" s="11" customFormat="1" ht="14.45" customHeight="1"/>
    <row r="433" s="11" customFormat="1" ht="45" customHeight="1"/>
    <row r="434" s="11" customFormat="1" ht="14.45" customHeight="1"/>
    <row r="435" s="11" customFormat="1" ht="24" customHeight="1"/>
    <row r="436" s="11" customFormat="1" ht="14.45" customHeight="1"/>
    <row r="437" s="11" customFormat="1" ht="60" customHeight="1"/>
    <row r="438" s="11" customFormat="1" ht="45" customHeight="1"/>
    <row r="439" s="11" customFormat="1" ht="14.45" customHeight="1"/>
    <row r="440" s="11" customFormat="1" ht="45" customHeight="1"/>
    <row r="441" s="11" customFormat="1" ht="14.45" customHeight="1"/>
    <row r="442" s="11" customFormat="1" ht="24" customHeight="1"/>
    <row r="443" s="11" customFormat="1" ht="14.45" customHeight="1"/>
    <row r="444" s="11" customFormat="1" ht="60" customHeight="1"/>
    <row r="445" s="11" customFormat="1" ht="45" customHeight="1"/>
    <row r="446" s="11" customFormat="1" ht="14.45" customHeight="1"/>
    <row r="447" s="11" customFormat="1" ht="45" customHeight="1"/>
    <row r="448" s="11" customFormat="1" ht="14.45" customHeight="1"/>
    <row r="449" s="11" customFormat="1" ht="24" customHeight="1"/>
    <row r="450" s="11" customFormat="1" ht="14.45" customHeight="1"/>
    <row r="451" s="11" customFormat="1" ht="60" customHeight="1"/>
    <row r="452" s="11" customFormat="1" ht="45" customHeight="1"/>
    <row r="453" s="11" customFormat="1" ht="14.45" customHeight="1"/>
    <row r="454" s="11" customFormat="1" ht="45" customHeight="1"/>
    <row r="455" s="11" customFormat="1" ht="14.45" customHeight="1"/>
    <row r="456" s="11" customFormat="1" ht="24" customHeight="1"/>
    <row r="457" s="11" customFormat="1" ht="14.45" customHeight="1"/>
    <row r="458" s="11" customFormat="1" ht="60" customHeight="1"/>
    <row r="459" s="11" customFormat="1" ht="45" customHeight="1"/>
    <row r="460" s="11" customFormat="1" ht="14.45" customHeight="1"/>
    <row r="461" s="11" customFormat="1" ht="45" customHeight="1"/>
    <row r="462" s="11" customFormat="1" ht="14.45" customHeight="1"/>
    <row r="463" s="11" customFormat="1" ht="24" customHeight="1"/>
    <row r="464" s="11" customFormat="1" ht="14.45" customHeight="1"/>
    <row r="465" s="11" customFormat="1" ht="60" customHeight="1"/>
    <row r="466" s="11" customFormat="1" ht="45" customHeight="1"/>
    <row r="467" s="11" customFormat="1" ht="14.45" customHeight="1"/>
    <row r="468" s="11" customFormat="1" ht="45" customHeight="1"/>
    <row r="469" s="11" customFormat="1" ht="14.45" customHeight="1"/>
    <row r="470" s="11" customFormat="1" ht="24" customHeight="1"/>
    <row r="471" s="11" customFormat="1" ht="14.45" customHeight="1"/>
    <row r="472" s="11" customFormat="1" ht="60" customHeight="1"/>
    <row r="473" s="11" customFormat="1" ht="45" customHeight="1"/>
    <row r="474" s="11" customFormat="1" ht="14.45" customHeight="1"/>
    <row r="475" s="11" customFormat="1" ht="45" customHeight="1"/>
    <row r="476" s="11" customFormat="1" ht="14.45" customHeight="1"/>
    <row r="477" s="11" customFormat="1" ht="24" customHeight="1"/>
    <row r="478" s="11" customFormat="1" ht="14.45" customHeight="1"/>
    <row r="479" s="11" customFormat="1" ht="60" customHeight="1"/>
    <row r="480" s="11" customFormat="1" ht="45" customHeight="1"/>
    <row r="481" s="11" customFormat="1" ht="14.45" customHeight="1"/>
    <row r="482" s="11" customFormat="1" ht="45" customHeight="1"/>
    <row r="483" s="11" customFormat="1" ht="14.45" customHeight="1"/>
    <row r="484" s="11" customFormat="1" ht="24" customHeight="1"/>
    <row r="485" s="11" customFormat="1" ht="14.45" customHeight="1"/>
    <row r="486" s="11" customFormat="1" ht="60" customHeight="1"/>
    <row r="487" s="11" customFormat="1" ht="45" customHeight="1"/>
    <row r="488" s="11" customFormat="1" ht="14.45" customHeight="1"/>
    <row r="489" s="11" customFormat="1" ht="45" customHeight="1"/>
    <row r="490" s="11" customFormat="1" ht="14.45" customHeight="1"/>
    <row r="491" s="11" customFormat="1" ht="24" customHeight="1"/>
  </sheetData>
  <sheetProtection algorithmName="SHA-512" hashValue="dfHww1Jxc4gzGqBRBu07hMHE67mZQoVW/7W/uHkywbQ9eO4XTu7TKLpnf9wOmW17lpEnLzOWZfx6MpFZ1mJoOg==" saltValue="65WRcgGPfMEGoJhxGfCqpQ==" spinCount="100000" sheet="1" objects="1" scenarios="1" autoFilter="0"/>
  <mergeCells count="827">
    <mergeCell ref="L311:N316"/>
    <mergeCell ref="L164:N169"/>
    <mergeCell ref="L171:N176"/>
    <mergeCell ref="O171:Q176"/>
    <mergeCell ref="L178:N183"/>
    <mergeCell ref="O178:Q183"/>
    <mergeCell ref="L185:N190"/>
    <mergeCell ref="L192:N197"/>
    <mergeCell ref="L199:N204"/>
    <mergeCell ref="O199:Q204"/>
    <mergeCell ref="L206:N211"/>
    <mergeCell ref="O206:Q211"/>
    <mergeCell ref="L213:N218"/>
    <mergeCell ref="O303:Q303"/>
    <mergeCell ref="O304:Q309"/>
    <mergeCell ref="L310:N310"/>
    <mergeCell ref="O310:Q310"/>
    <mergeCell ref="O311:Q316"/>
    <mergeCell ref="L290:N295"/>
    <mergeCell ref="L303:N303"/>
    <mergeCell ref="M304:N304"/>
    <mergeCell ref="M309:N309"/>
    <mergeCell ref="O289:Q289"/>
    <mergeCell ref="O290:Q295"/>
    <mergeCell ref="L395:N400"/>
    <mergeCell ref="O394:Q394"/>
    <mergeCell ref="O395:Q400"/>
    <mergeCell ref="F394:H394"/>
    <mergeCell ref="G395:H395"/>
    <mergeCell ref="G400:H400"/>
    <mergeCell ref="I394:K394"/>
    <mergeCell ref="I395:K400"/>
    <mergeCell ref="L380:N380"/>
    <mergeCell ref="L381:N386"/>
    <mergeCell ref="O380:Q380"/>
    <mergeCell ref="A394:A400"/>
    <mergeCell ref="B394:B400"/>
    <mergeCell ref="C394:C400"/>
    <mergeCell ref="D394:D400"/>
    <mergeCell ref="E394:E400"/>
    <mergeCell ref="O381:Q386"/>
    <mergeCell ref="A387:A393"/>
    <mergeCell ref="B387:B393"/>
    <mergeCell ref="C387:C393"/>
    <mergeCell ref="D387:D393"/>
    <mergeCell ref="E387:E393"/>
    <mergeCell ref="F387:H387"/>
    <mergeCell ref="G388:H388"/>
    <mergeCell ref="G393:H393"/>
    <mergeCell ref="I387:K387"/>
    <mergeCell ref="I388:K393"/>
    <mergeCell ref="L387:N387"/>
    <mergeCell ref="L388:N393"/>
    <mergeCell ref="O387:Q387"/>
    <mergeCell ref="O388:Q393"/>
    <mergeCell ref="L394:N394"/>
    <mergeCell ref="A380:A386"/>
    <mergeCell ref="B380:B386"/>
    <mergeCell ref="C380:C386"/>
    <mergeCell ref="D380:D386"/>
    <mergeCell ref="E380:E386"/>
    <mergeCell ref="F380:H380"/>
    <mergeCell ref="G381:H381"/>
    <mergeCell ref="G386:H386"/>
    <mergeCell ref="I380:K380"/>
    <mergeCell ref="J381:K381"/>
    <mergeCell ref="J386:K386"/>
    <mergeCell ref="F366:H366"/>
    <mergeCell ref="G367:H367"/>
    <mergeCell ref="G372:H372"/>
    <mergeCell ref="I366:K366"/>
    <mergeCell ref="I367:K372"/>
    <mergeCell ref="A366:A372"/>
    <mergeCell ref="B366:B372"/>
    <mergeCell ref="C366:C372"/>
    <mergeCell ref="O373:Q373"/>
    <mergeCell ref="O367:Q372"/>
    <mergeCell ref="A373:A379"/>
    <mergeCell ref="B373:B379"/>
    <mergeCell ref="C373:C379"/>
    <mergeCell ref="D373:D379"/>
    <mergeCell ref="E373:E379"/>
    <mergeCell ref="F373:H373"/>
    <mergeCell ref="G374:H374"/>
    <mergeCell ref="G379:H379"/>
    <mergeCell ref="I373:K373"/>
    <mergeCell ref="I374:K379"/>
    <mergeCell ref="L373:N373"/>
    <mergeCell ref="L374:N379"/>
    <mergeCell ref="O374:Q379"/>
    <mergeCell ref="L352:N352"/>
    <mergeCell ref="L353:N358"/>
    <mergeCell ref="O352:Q352"/>
    <mergeCell ref="D366:D372"/>
    <mergeCell ref="E366:E372"/>
    <mergeCell ref="O353:Q358"/>
    <mergeCell ref="A359:A365"/>
    <mergeCell ref="B359:B365"/>
    <mergeCell ref="C359:C365"/>
    <mergeCell ref="D359:D365"/>
    <mergeCell ref="E359:E365"/>
    <mergeCell ref="F359:H359"/>
    <mergeCell ref="G360:H360"/>
    <mergeCell ref="G365:H365"/>
    <mergeCell ref="I359:K359"/>
    <mergeCell ref="J360:K360"/>
    <mergeCell ref="J365:K365"/>
    <mergeCell ref="L359:N359"/>
    <mergeCell ref="L360:N365"/>
    <mergeCell ref="O359:Q359"/>
    <mergeCell ref="O360:Q365"/>
    <mergeCell ref="L366:N366"/>
    <mergeCell ref="L367:N372"/>
    <mergeCell ref="O366:Q366"/>
    <mergeCell ref="A352:A358"/>
    <mergeCell ref="B352:B358"/>
    <mergeCell ref="C352:C358"/>
    <mergeCell ref="D352:D358"/>
    <mergeCell ref="E352:E358"/>
    <mergeCell ref="F352:H352"/>
    <mergeCell ref="G353:H353"/>
    <mergeCell ref="G358:H358"/>
    <mergeCell ref="I352:K352"/>
    <mergeCell ref="J353:K353"/>
    <mergeCell ref="J358:K358"/>
    <mergeCell ref="O339:Q344"/>
    <mergeCell ref="A345:A351"/>
    <mergeCell ref="B345:B351"/>
    <mergeCell ref="C345:C351"/>
    <mergeCell ref="D345:D351"/>
    <mergeCell ref="E345:E351"/>
    <mergeCell ref="F345:H345"/>
    <mergeCell ref="G346:H346"/>
    <mergeCell ref="G351:H351"/>
    <mergeCell ref="I345:K345"/>
    <mergeCell ref="J346:K346"/>
    <mergeCell ref="J351:K351"/>
    <mergeCell ref="L345:N345"/>
    <mergeCell ref="L346:N351"/>
    <mergeCell ref="O345:Q345"/>
    <mergeCell ref="O346:Q351"/>
    <mergeCell ref="O331:Q331"/>
    <mergeCell ref="O332:Q337"/>
    <mergeCell ref="A338:A344"/>
    <mergeCell ref="B338:B344"/>
    <mergeCell ref="C338:C344"/>
    <mergeCell ref="D338:D344"/>
    <mergeCell ref="E338:E344"/>
    <mergeCell ref="F338:H338"/>
    <mergeCell ref="G339:H339"/>
    <mergeCell ref="G344:H344"/>
    <mergeCell ref="I338:K338"/>
    <mergeCell ref="J339:K339"/>
    <mergeCell ref="J344:K344"/>
    <mergeCell ref="L338:N338"/>
    <mergeCell ref="F331:H331"/>
    <mergeCell ref="G332:H332"/>
    <mergeCell ref="G337:H337"/>
    <mergeCell ref="I331:K331"/>
    <mergeCell ref="J332:K332"/>
    <mergeCell ref="J337:K337"/>
    <mergeCell ref="A331:A337"/>
    <mergeCell ref="B331:B337"/>
    <mergeCell ref="L339:N344"/>
    <mergeCell ref="O338:Q338"/>
    <mergeCell ref="L317:N317"/>
    <mergeCell ref="L318:N323"/>
    <mergeCell ref="O317:Q317"/>
    <mergeCell ref="C331:C337"/>
    <mergeCell ref="D331:D337"/>
    <mergeCell ref="E331:E337"/>
    <mergeCell ref="O318:Q323"/>
    <mergeCell ref="A324:A330"/>
    <mergeCell ref="B324:B330"/>
    <mergeCell ref="C324:C330"/>
    <mergeCell ref="D324:D330"/>
    <mergeCell ref="E324:E330"/>
    <mergeCell ref="F324:H324"/>
    <mergeCell ref="G325:H325"/>
    <mergeCell ref="G330:H330"/>
    <mergeCell ref="I324:K324"/>
    <mergeCell ref="J325:K325"/>
    <mergeCell ref="J330:K330"/>
    <mergeCell ref="L324:N324"/>
    <mergeCell ref="L325:N330"/>
    <mergeCell ref="O324:Q324"/>
    <mergeCell ref="O325:Q330"/>
    <mergeCell ref="L331:N331"/>
    <mergeCell ref="L332:N337"/>
    <mergeCell ref="A317:A323"/>
    <mergeCell ref="B317:B323"/>
    <mergeCell ref="C317:C323"/>
    <mergeCell ref="D317:D323"/>
    <mergeCell ref="E317:E323"/>
    <mergeCell ref="F317:H317"/>
    <mergeCell ref="G318:H318"/>
    <mergeCell ref="G323:H323"/>
    <mergeCell ref="I317:K317"/>
    <mergeCell ref="J318:K318"/>
    <mergeCell ref="J323:K323"/>
    <mergeCell ref="A310:A316"/>
    <mergeCell ref="B310:B316"/>
    <mergeCell ref="C310:C316"/>
    <mergeCell ref="D310:D316"/>
    <mergeCell ref="E310:E316"/>
    <mergeCell ref="F310:H310"/>
    <mergeCell ref="G311:H311"/>
    <mergeCell ref="G316:H316"/>
    <mergeCell ref="I310:K310"/>
    <mergeCell ref="J311:K311"/>
    <mergeCell ref="J316:K316"/>
    <mergeCell ref="A303:A309"/>
    <mergeCell ref="B303:B309"/>
    <mergeCell ref="C303:C309"/>
    <mergeCell ref="D303:D309"/>
    <mergeCell ref="E303:E309"/>
    <mergeCell ref="F303:H303"/>
    <mergeCell ref="G304:H304"/>
    <mergeCell ref="G309:H309"/>
    <mergeCell ref="I303:K303"/>
    <mergeCell ref="J304:K304"/>
    <mergeCell ref="J309:K309"/>
    <mergeCell ref="A296:A302"/>
    <mergeCell ref="B296:B302"/>
    <mergeCell ref="C296:C302"/>
    <mergeCell ref="D296:D302"/>
    <mergeCell ref="E296:E302"/>
    <mergeCell ref="F296:H296"/>
    <mergeCell ref="G297:H297"/>
    <mergeCell ref="G302:H302"/>
    <mergeCell ref="I296:K296"/>
    <mergeCell ref="J297:K297"/>
    <mergeCell ref="J302:K302"/>
    <mergeCell ref="L296:N296"/>
    <mergeCell ref="L297:N302"/>
    <mergeCell ref="O296:Q296"/>
    <mergeCell ref="O297:Q302"/>
    <mergeCell ref="L289:N289"/>
    <mergeCell ref="F282:H282"/>
    <mergeCell ref="G283:H283"/>
    <mergeCell ref="G288:H288"/>
    <mergeCell ref="I282:K282"/>
    <mergeCell ref="J283:K283"/>
    <mergeCell ref="J288:K288"/>
    <mergeCell ref="I289:K289"/>
    <mergeCell ref="J290:K290"/>
    <mergeCell ref="J295:K295"/>
    <mergeCell ref="A282:A288"/>
    <mergeCell ref="B282:B288"/>
    <mergeCell ref="A289:A295"/>
    <mergeCell ref="B289:B295"/>
    <mergeCell ref="C289:C295"/>
    <mergeCell ref="D289:D295"/>
    <mergeCell ref="E289:E295"/>
    <mergeCell ref="F289:H289"/>
    <mergeCell ref="G290:H290"/>
    <mergeCell ref="G295:H295"/>
    <mergeCell ref="C282:C288"/>
    <mergeCell ref="D282:D288"/>
    <mergeCell ref="E282:E288"/>
    <mergeCell ref="L268:N268"/>
    <mergeCell ref="L269:N274"/>
    <mergeCell ref="O268:Q268"/>
    <mergeCell ref="O269:Q274"/>
    <mergeCell ref="L282:N282"/>
    <mergeCell ref="L283:N288"/>
    <mergeCell ref="O282:Q282"/>
    <mergeCell ref="O283:Q288"/>
    <mergeCell ref="A275:A281"/>
    <mergeCell ref="B275:B281"/>
    <mergeCell ref="C275:C281"/>
    <mergeCell ref="D275:D281"/>
    <mergeCell ref="E275:E281"/>
    <mergeCell ref="L275:N275"/>
    <mergeCell ref="M276:N276"/>
    <mergeCell ref="M281:N281"/>
    <mergeCell ref="O275:Q275"/>
    <mergeCell ref="O276:Q281"/>
    <mergeCell ref="F275:H275"/>
    <mergeCell ref="G276:H276"/>
    <mergeCell ref="G281:H281"/>
    <mergeCell ref="I275:K275"/>
    <mergeCell ref="J276:K276"/>
    <mergeCell ref="J281:K281"/>
    <mergeCell ref="I254:K254"/>
    <mergeCell ref="J255:K255"/>
    <mergeCell ref="J260:K260"/>
    <mergeCell ref="A247:A253"/>
    <mergeCell ref="A268:A274"/>
    <mergeCell ref="B268:B274"/>
    <mergeCell ref="C268:C274"/>
    <mergeCell ref="D268:D274"/>
    <mergeCell ref="E268:E274"/>
    <mergeCell ref="F268:H268"/>
    <mergeCell ref="G269:H269"/>
    <mergeCell ref="G274:H274"/>
    <mergeCell ref="G255:H255"/>
    <mergeCell ref="G260:H260"/>
    <mergeCell ref="B247:B253"/>
    <mergeCell ref="C247:C253"/>
    <mergeCell ref="D247:D253"/>
    <mergeCell ref="E247:E253"/>
    <mergeCell ref="G253:H253"/>
    <mergeCell ref="I268:K268"/>
    <mergeCell ref="J269:K269"/>
    <mergeCell ref="J274:K274"/>
    <mergeCell ref="L255:N260"/>
    <mergeCell ref="O254:Q254"/>
    <mergeCell ref="O255:Q260"/>
    <mergeCell ref="L261:N261"/>
    <mergeCell ref="L262:N267"/>
    <mergeCell ref="O261:Q261"/>
    <mergeCell ref="L254:N254"/>
    <mergeCell ref="O262:Q267"/>
    <mergeCell ref="A254:A260"/>
    <mergeCell ref="B254:B260"/>
    <mergeCell ref="C254:C260"/>
    <mergeCell ref="D254:D260"/>
    <mergeCell ref="E254:E260"/>
    <mergeCell ref="F254:H254"/>
    <mergeCell ref="A261:A267"/>
    <mergeCell ref="B261:B267"/>
    <mergeCell ref="C261:C267"/>
    <mergeCell ref="D261:D267"/>
    <mergeCell ref="E261:E267"/>
    <mergeCell ref="F261:H261"/>
    <mergeCell ref="G262:H262"/>
    <mergeCell ref="G267:H267"/>
    <mergeCell ref="I261:K261"/>
    <mergeCell ref="I262:K267"/>
    <mergeCell ref="I240:K240"/>
    <mergeCell ref="L240:N240"/>
    <mergeCell ref="L241:N246"/>
    <mergeCell ref="O240:Q240"/>
    <mergeCell ref="O241:Q246"/>
    <mergeCell ref="F247:H247"/>
    <mergeCell ref="G248:H248"/>
    <mergeCell ref="I247:K247"/>
    <mergeCell ref="I248:K253"/>
    <mergeCell ref="L247:N247"/>
    <mergeCell ref="L248:N253"/>
    <mergeCell ref="O247:Q247"/>
    <mergeCell ref="O248:Q253"/>
    <mergeCell ref="I241:K246"/>
    <mergeCell ref="O226:Q226"/>
    <mergeCell ref="O227:Q232"/>
    <mergeCell ref="A233:A239"/>
    <mergeCell ref="B233:B239"/>
    <mergeCell ref="C233:C239"/>
    <mergeCell ref="D233:D239"/>
    <mergeCell ref="E233:E239"/>
    <mergeCell ref="F233:H233"/>
    <mergeCell ref="G234:H234"/>
    <mergeCell ref="G239:H239"/>
    <mergeCell ref="I233:K233"/>
    <mergeCell ref="L233:N233"/>
    <mergeCell ref="L234:N239"/>
    <mergeCell ref="O233:Q233"/>
    <mergeCell ref="L226:N226"/>
    <mergeCell ref="L227:N232"/>
    <mergeCell ref="O234:Q239"/>
    <mergeCell ref="I234:K239"/>
    <mergeCell ref="A240:A246"/>
    <mergeCell ref="I220:K225"/>
    <mergeCell ref="A219:A225"/>
    <mergeCell ref="B219:B225"/>
    <mergeCell ref="C219:C225"/>
    <mergeCell ref="A226:A232"/>
    <mergeCell ref="B226:B232"/>
    <mergeCell ref="C226:C232"/>
    <mergeCell ref="D226:D232"/>
    <mergeCell ref="E226:E232"/>
    <mergeCell ref="F226:H226"/>
    <mergeCell ref="G227:H227"/>
    <mergeCell ref="G232:H232"/>
    <mergeCell ref="I226:K226"/>
    <mergeCell ref="I227:K232"/>
    <mergeCell ref="D219:D225"/>
    <mergeCell ref="E219:E225"/>
    <mergeCell ref="B240:B246"/>
    <mergeCell ref="C240:C246"/>
    <mergeCell ref="D240:D246"/>
    <mergeCell ref="E240:E246"/>
    <mergeCell ref="F240:H240"/>
    <mergeCell ref="G241:H241"/>
    <mergeCell ref="G246:H246"/>
    <mergeCell ref="L220:N225"/>
    <mergeCell ref="O219:Q219"/>
    <mergeCell ref="O220:Q225"/>
    <mergeCell ref="A212:A218"/>
    <mergeCell ref="B212:B218"/>
    <mergeCell ref="C212:C218"/>
    <mergeCell ref="D212:D218"/>
    <mergeCell ref="E212:E218"/>
    <mergeCell ref="L212:N212"/>
    <mergeCell ref="O212:Q212"/>
    <mergeCell ref="O213:Q218"/>
    <mergeCell ref="F212:H212"/>
    <mergeCell ref="G213:H213"/>
    <mergeCell ref="G218:H218"/>
    <mergeCell ref="I212:K212"/>
    <mergeCell ref="J213:K213"/>
    <mergeCell ref="J218:K218"/>
    <mergeCell ref="F219:H219"/>
    <mergeCell ref="G220:H220"/>
    <mergeCell ref="G225:H225"/>
    <mergeCell ref="I219:K219"/>
    <mergeCell ref="O191:Q191"/>
    <mergeCell ref="O192:Q197"/>
    <mergeCell ref="F191:H191"/>
    <mergeCell ref="G192:H192"/>
    <mergeCell ref="G197:H197"/>
    <mergeCell ref="I191:K191"/>
    <mergeCell ref="J192:K192"/>
    <mergeCell ref="J197:K197"/>
    <mergeCell ref="L219:N219"/>
    <mergeCell ref="A205:A211"/>
    <mergeCell ref="B205:B211"/>
    <mergeCell ref="C205:C211"/>
    <mergeCell ref="D205:D211"/>
    <mergeCell ref="E205:E211"/>
    <mergeCell ref="O198:Q198"/>
    <mergeCell ref="F198:H198"/>
    <mergeCell ref="G199:H199"/>
    <mergeCell ref="G204:H204"/>
    <mergeCell ref="I198:K198"/>
    <mergeCell ref="J199:K199"/>
    <mergeCell ref="J204:K204"/>
    <mergeCell ref="A198:A204"/>
    <mergeCell ref="B198:B204"/>
    <mergeCell ref="L205:N205"/>
    <mergeCell ref="O205:Q205"/>
    <mergeCell ref="F205:H205"/>
    <mergeCell ref="G206:H206"/>
    <mergeCell ref="G211:H211"/>
    <mergeCell ref="I205:K205"/>
    <mergeCell ref="J206:K206"/>
    <mergeCell ref="J211:K211"/>
    <mergeCell ref="A191:A197"/>
    <mergeCell ref="B191:B197"/>
    <mergeCell ref="C191:C197"/>
    <mergeCell ref="D191:D197"/>
    <mergeCell ref="E191:E197"/>
    <mergeCell ref="L198:N198"/>
    <mergeCell ref="L191:N191"/>
    <mergeCell ref="C198:C204"/>
    <mergeCell ref="D198:D204"/>
    <mergeCell ref="E198:E204"/>
    <mergeCell ref="O184:Q184"/>
    <mergeCell ref="O185:Q190"/>
    <mergeCell ref="F184:H184"/>
    <mergeCell ref="G185:H185"/>
    <mergeCell ref="G190:H190"/>
    <mergeCell ref="I184:K184"/>
    <mergeCell ref="J185:K185"/>
    <mergeCell ref="J190:K190"/>
    <mergeCell ref="A184:A190"/>
    <mergeCell ref="B184:B190"/>
    <mergeCell ref="C184:C190"/>
    <mergeCell ref="D184:D190"/>
    <mergeCell ref="E184:E190"/>
    <mergeCell ref="L184:N184"/>
    <mergeCell ref="G178:H178"/>
    <mergeCell ref="G183:H183"/>
    <mergeCell ref="I177:K177"/>
    <mergeCell ref="J178:K178"/>
    <mergeCell ref="J183:K183"/>
    <mergeCell ref="A177:A183"/>
    <mergeCell ref="B177:B183"/>
    <mergeCell ref="C177:C183"/>
    <mergeCell ref="D177:D183"/>
    <mergeCell ref="E177:E183"/>
    <mergeCell ref="A170:A176"/>
    <mergeCell ref="B170:B176"/>
    <mergeCell ref="C170:C176"/>
    <mergeCell ref="D170:D176"/>
    <mergeCell ref="E170:E176"/>
    <mergeCell ref="L163:N163"/>
    <mergeCell ref="O163:Q163"/>
    <mergeCell ref="O164:Q169"/>
    <mergeCell ref="F163:H163"/>
    <mergeCell ref="G164:H164"/>
    <mergeCell ref="L170:N170"/>
    <mergeCell ref="G169:H169"/>
    <mergeCell ref="I163:K163"/>
    <mergeCell ref="J164:K164"/>
    <mergeCell ref="J169:K169"/>
    <mergeCell ref="A163:A169"/>
    <mergeCell ref="B163:B169"/>
    <mergeCell ref="C163:C169"/>
    <mergeCell ref="D163:D169"/>
    <mergeCell ref="E163:E169"/>
    <mergeCell ref="L177:N177"/>
    <mergeCell ref="O170:Q170"/>
    <mergeCell ref="F170:H170"/>
    <mergeCell ref="G171:H171"/>
    <mergeCell ref="G176:H176"/>
    <mergeCell ref="I170:K170"/>
    <mergeCell ref="J171:K171"/>
    <mergeCell ref="J176:K176"/>
    <mergeCell ref="O177:Q177"/>
    <mergeCell ref="F177:H177"/>
    <mergeCell ref="O142:Q142"/>
    <mergeCell ref="O143:Q148"/>
    <mergeCell ref="L149:N149"/>
    <mergeCell ref="L150:N155"/>
    <mergeCell ref="O149:Q149"/>
    <mergeCell ref="O150:Q155"/>
    <mergeCell ref="L142:N142"/>
    <mergeCell ref="L143:N148"/>
    <mergeCell ref="L156:N156"/>
    <mergeCell ref="L157:N162"/>
    <mergeCell ref="O156:Q156"/>
    <mergeCell ref="O157:Q162"/>
    <mergeCell ref="A149:A155"/>
    <mergeCell ref="B149:B155"/>
    <mergeCell ref="C149:C155"/>
    <mergeCell ref="D149:D155"/>
    <mergeCell ref="E149:E155"/>
    <mergeCell ref="F149:H149"/>
    <mergeCell ref="G150:H150"/>
    <mergeCell ref="G155:H155"/>
    <mergeCell ref="I149:K149"/>
    <mergeCell ref="J150:K150"/>
    <mergeCell ref="J155:K155"/>
    <mergeCell ref="C156:C162"/>
    <mergeCell ref="D156:D162"/>
    <mergeCell ref="E156:E162"/>
    <mergeCell ref="F156:H156"/>
    <mergeCell ref="G157:H157"/>
    <mergeCell ref="G162:H162"/>
    <mergeCell ref="I156:K156"/>
    <mergeCell ref="I157:K162"/>
    <mergeCell ref="A156:A162"/>
    <mergeCell ref="B156:B162"/>
    <mergeCell ref="G136:H136"/>
    <mergeCell ref="G141:H141"/>
    <mergeCell ref="I135:K135"/>
    <mergeCell ref="I136:K141"/>
    <mergeCell ref="A135:A141"/>
    <mergeCell ref="B135:B141"/>
    <mergeCell ref="C135:C141"/>
    <mergeCell ref="A142:A148"/>
    <mergeCell ref="B142:B148"/>
    <mergeCell ref="C142:C148"/>
    <mergeCell ref="D142:D148"/>
    <mergeCell ref="E142:E148"/>
    <mergeCell ref="F142:H142"/>
    <mergeCell ref="G143:H143"/>
    <mergeCell ref="G148:H148"/>
    <mergeCell ref="I142:K142"/>
    <mergeCell ref="I143:K148"/>
    <mergeCell ref="D135:D141"/>
    <mergeCell ref="E135:E141"/>
    <mergeCell ref="A128:A134"/>
    <mergeCell ref="B128:B134"/>
    <mergeCell ref="C128:C134"/>
    <mergeCell ref="D128:D134"/>
    <mergeCell ref="E128:E134"/>
    <mergeCell ref="F128:H128"/>
    <mergeCell ref="G129:H129"/>
    <mergeCell ref="G134:H134"/>
    <mergeCell ref="I128:K128"/>
    <mergeCell ref="I129:K134"/>
    <mergeCell ref="L135:N135"/>
    <mergeCell ref="L136:N141"/>
    <mergeCell ref="O135:Q135"/>
    <mergeCell ref="O136:Q141"/>
    <mergeCell ref="L121:N121"/>
    <mergeCell ref="L122:N127"/>
    <mergeCell ref="F114:H114"/>
    <mergeCell ref="G115:H115"/>
    <mergeCell ref="G120:H120"/>
    <mergeCell ref="I114:K114"/>
    <mergeCell ref="I115:K120"/>
    <mergeCell ref="I121:K121"/>
    <mergeCell ref="I122:K127"/>
    <mergeCell ref="L114:N114"/>
    <mergeCell ref="L115:N120"/>
    <mergeCell ref="O114:Q114"/>
    <mergeCell ref="O115:Q120"/>
    <mergeCell ref="O121:Q121"/>
    <mergeCell ref="O122:Q127"/>
    <mergeCell ref="L128:N128"/>
    <mergeCell ref="L129:N134"/>
    <mergeCell ref="O128:Q128"/>
    <mergeCell ref="O129:Q134"/>
    <mergeCell ref="F135:H135"/>
    <mergeCell ref="A114:A120"/>
    <mergeCell ref="B114:B120"/>
    <mergeCell ref="C114:C120"/>
    <mergeCell ref="A121:A127"/>
    <mergeCell ref="B121:B127"/>
    <mergeCell ref="C121:C127"/>
    <mergeCell ref="D121:D127"/>
    <mergeCell ref="E121:E127"/>
    <mergeCell ref="F121:H121"/>
    <mergeCell ref="G122:H122"/>
    <mergeCell ref="G127:H127"/>
    <mergeCell ref="D114:D120"/>
    <mergeCell ref="E114:E120"/>
    <mergeCell ref="O100:Q100"/>
    <mergeCell ref="O101:Q106"/>
    <mergeCell ref="A107:A113"/>
    <mergeCell ref="B107:B113"/>
    <mergeCell ref="C107:C113"/>
    <mergeCell ref="D107:D113"/>
    <mergeCell ref="E107:E113"/>
    <mergeCell ref="F107:H107"/>
    <mergeCell ref="G108:H108"/>
    <mergeCell ref="G113:H113"/>
    <mergeCell ref="I107:K107"/>
    <mergeCell ref="I108:K113"/>
    <mergeCell ref="L107:N107"/>
    <mergeCell ref="L108:N113"/>
    <mergeCell ref="O107:Q107"/>
    <mergeCell ref="O108:Q113"/>
    <mergeCell ref="L100:N100"/>
    <mergeCell ref="L101:N106"/>
    <mergeCell ref="G94:H94"/>
    <mergeCell ref="G99:H99"/>
    <mergeCell ref="I93:K93"/>
    <mergeCell ref="I94:K99"/>
    <mergeCell ref="A93:A99"/>
    <mergeCell ref="B93:B99"/>
    <mergeCell ref="C93:C99"/>
    <mergeCell ref="A100:A106"/>
    <mergeCell ref="B100:B106"/>
    <mergeCell ref="C100:C106"/>
    <mergeCell ref="D100:D106"/>
    <mergeCell ref="E100:E106"/>
    <mergeCell ref="F100:H100"/>
    <mergeCell ref="G101:H101"/>
    <mergeCell ref="G106:H106"/>
    <mergeCell ref="I100:K100"/>
    <mergeCell ref="I101:K106"/>
    <mergeCell ref="D93:D99"/>
    <mergeCell ref="E93:E99"/>
    <mergeCell ref="A86:A92"/>
    <mergeCell ref="B86:B92"/>
    <mergeCell ref="C86:C92"/>
    <mergeCell ref="D86:D92"/>
    <mergeCell ref="E86:E92"/>
    <mergeCell ref="F86:H86"/>
    <mergeCell ref="G87:H87"/>
    <mergeCell ref="G92:H92"/>
    <mergeCell ref="I86:K86"/>
    <mergeCell ref="I87:K92"/>
    <mergeCell ref="L93:N93"/>
    <mergeCell ref="L94:N99"/>
    <mergeCell ref="O93:Q93"/>
    <mergeCell ref="O94:Q99"/>
    <mergeCell ref="L79:N79"/>
    <mergeCell ref="L80:N85"/>
    <mergeCell ref="F72:H72"/>
    <mergeCell ref="G73:H73"/>
    <mergeCell ref="G78:H78"/>
    <mergeCell ref="I72:K72"/>
    <mergeCell ref="I73:K78"/>
    <mergeCell ref="I79:K79"/>
    <mergeCell ref="I80:K85"/>
    <mergeCell ref="L72:N72"/>
    <mergeCell ref="L73:N78"/>
    <mergeCell ref="O72:Q72"/>
    <mergeCell ref="O73:Q78"/>
    <mergeCell ref="O79:Q79"/>
    <mergeCell ref="O80:Q85"/>
    <mergeCell ref="L86:N86"/>
    <mergeCell ref="L87:N92"/>
    <mergeCell ref="O86:Q86"/>
    <mergeCell ref="O87:Q92"/>
    <mergeCell ref="F93:H93"/>
    <mergeCell ref="A72:A78"/>
    <mergeCell ref="B72:B78"/>
    <mergeCell ref="C72:C78"/>
    <mergeCell ref="A79:A85"/>
    <mergeCell ref="B79:B85"/>
    <mergeCell ref="C79:C85"/>
    <mergeCell ref="D79:D85"/>
    <mergeCell ref="E79:E85"/>
    <mergeCell ref="F79:H79"/>
    <mergeCell ref="G80:H80"/>
    <mergeCell ref="G85:H85"/>
    <mergeCell ref="D72:D78"/>
    <mergeCell ref="E72:E78"/>
    <mergeCell ref="O58:Q58"/>
    <mergeCell ref="O59:Q64"/>
    <mergeCell ref="A65:A71"/>
    <mergeCell ref="B65:B71"/>
    <mergeCell ref="C65:C71"/>
    <mergeCell ref="D65:D71"/>
    <mergeCell ref="E65:E71"/>
    <mergeCell ref="F65:H65"/>
    <mergeCell ref="G66:H66"/>
    <mergeCell ref="G71:H71"/>
    <mergeCell ref="I65:K65"/>
    <mergeCell ref="I66:K71"/>
    <mergeCell ref="L65:N65"/>
    <mergeCell ref="L66:N71"/>
    <mergeCell ref="O65:Q65"/>
    <mergeCell ref="O66:Q71"/>
    <mergeCell ref="L58:N58"/>
    <mergeCell ref="L59:N64"/>
    <mergeCell ref="G52:H52"/>
    <mergeCell ref="G57:H57"/>
    <mergeCell ref="I51:K51"/>
    <mergeCell ref="I52:K57"/>
    <mergeCell ref="A51:A57"/>
    <mergeCell ref="B51:B57"/>
    <mergeCell ref="C51:C57"/>
    <mergeCell ref="A58:A64"/>
    <mergeCell ref="B58:B64"/>
    <mergeCell ref="C58:C64"/>
    <mergeCell ref="D58:D64"/>
    <mergeCell ref="E58:E64"/>
    <mergeCell ref="F58:H58"/>
    <mergeCell ref="G59:H59"/>
    <mergeCell ref="G64:H64"/>
    <mergeCell ref="I58:K58"/>
    <mergeCell ref="I59:K64"/>
    <mergeCell ref="D51:D57"/>
    <mergeCell ref="E51:E57"/>
    <mergeCell ref="A44:A50"/>
    <mergeCell ref="B44:B50"/>
    <mergeCell ref="C44:C50"/>
    <mergeCell ref="D44:D50"/>
    <mergeCell ref="E44:E50"/>
    <mergeCell ref="F44:H44"/>
    <mergeCell ref="G45:H45"/>
    <mergeCell ref="G50:H50"/>
    <mergeCell ref="I44:K44"/>
    <mergeCell ref="I45:K50"/>
    <mergeCell ref="L51:N51"/>
    <mergeCell ref="L52:N57"/>
    <mergeCell ref="O51:Q51"/>
    <mergeCell ref="O52:Q57"/>
    <mergeCell ref="L37:N37"/>
    <mergeCell ref="L38:N43"/>
    <mergeCell ref="F30:H30"/>
    <mergeCell ref="G31:H31"/>
    <mergeCell ref="G36:H36"/>
    <mergeCell ref="I30:K30"/>
    <mergeCell ref="I31:K36"/>
    <mergeCell ref="I37:K37"/>
    <mergeCell ref="I38:K43"/>
    <mergeCell ref="L30:N30"/>
    <mergeCell ref="L31:N36"/>
    <mergeCell ref="O30:Q30"/>
    <mergeCell ref="O31:Q36"/>
    <mergeCell ref="O37:Q37"/>
    <mergeCell ref="O38:Q43"/>
    <mergeCell ref="L44:N44"/>
    <mergeCell ref="L45:N50"/>
    <mergeCell ref="O44:Q44"/>
    <mergeCell ref="O45:Q50"/>
    <mergeCell ref="F51:H51"/>
    <mergeCell ref="A30:A36"/>
    <mergeCell ref="B30:B36"/>
    <mergeCell ref="C30:C36"/>
    <mergeCell ref="A37:A43"/>
    <mergeCell ref="B37:B43"/>
    <mergeCell ref="C37:C43"/>
    <mergeCell ref="D37:D43"/>
    <mergeCell ref="E37:E43"/>
    <mergeCell ref="F37:H37"/>
    <mergeCell ref="G38:H38"/>
    <mergeCell ref="G43:H43"/>
    <mergeCell ref="D30:D36"/>
    <mergeCell ref="E30:E36"/>
    <mergeCell ref="O16:Q16"/>
    <mergeCell ref="O17:Q22"/>
    <mergeCell ref="A23:A29"/>
    <mergeCell ref="B23:B29"/>
    <mergeCell ref="C23:C29"/>
    <mergeCell ref="D23:D29"/>
    <mergeCell ref="E23:E29"/>
    <mergeCell ref="F23:H23"/>
    <mergeCell ref="G24:H24"/>
    <mergeCell ref="G29:H29"/>
    <mergeCell ref="I23:K23"/>
    <mergeCell ref="I24:K29"/>
    <mergeCell ref="L23:N23"/>
    <mergeCell ref="L24:N29"/>
    <mergeCell ref="O23:Q23"/>
    <mergeCell ref="O24:Q29"/>
    <mergeCell ref="L16:N16"/>
    <mergeCell ref="L17:N22"/>
    <mergeCell ref="I10:K15"/>
    <mergeCell ref="A9:A15"/>
    <mergeCell ref="B9:B15"/>
    <mergeCell ref="C9:C15"/>
    <mergeCell ref="A16:A22"/>
    <mergeCell ref="B16:B22"/>
    <mergeCell ref="C16:C22"/>
    <mergeCell ref="D16:D22"/>
    <mergeCell ref="E16:E22"/>
    <mergeCell ref="F16:H16"/>
    <mergeCell ref="G17:H17"/>
    <mergeCell ref="G22:H22"/>
    <mergeCell ref="I16:K16"/>
    <mergeCell ref="I17:K22"/>
    <mergeCell ref="D9:D15"/>
    <mergeCell ref="E9:E15"/>
    <mergeCell ref="L9:N9"/>
    <mergeCell ref="L10:N15"/>
    <mergeCell ref="O9:Q9"/>
    <mergeCell ref="O10:Q15"/>
    <mergeCell ref="B1:C1"/>
    <mergeCell ref="F1:Q1"/>
    <mergeCell ref="A2:A8"/>
    <mergeCell ref="B2:B8"/>
    <mergeCell ref="C2:C8"/>
    <mergeCell ref="D2:D8"/>
    <mergeCell ref="E2:E8"/>
    <mergeCell ref="F2:H2"/>
    <mergeCell ref="G3:H3"/>
    <mergeCell ref="G8:H8"/>
    <mergeCell ref="I2:K2"/>
    <mergeCell ref="I3:K8"/>
    <mergeCell ref="L2:N2"/>
    <mergeCell ref="L3:N8"/>
    <mergeCell ref="O2:Q2"/>
    <mergeCell ref="O3:Q8"/>
    <mergeCell ref="F9:H9"/>
    <mergeCell ref="G10:H10"/>
    <mergeCell ref="G15:H15"/>
    <mergeCell ref="I9:K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Q275"/>
  <sheetViews>
    <sheetView showGridLines="0" workbookViewId="0">
      <selection activeCell="J280" sqref="J280"/>
    </sheetView>
  </sheetViews>
  <sheetFormatPr defaultRowHeight="14.25"/>
  <cols>
    <col min="1" max="1" width="7" style="11" customWidth="1"/>
    <col min="2" max="2" width="22" style="11" customWidth="1"/>
    <col min="3" max="3" width="18" style="11" customWidth="1"/>
    <col min="4" max="4" width="13" style="11" customWidth="1"/>
    <col min="5" max="5" width="18" style="11" customWidth="1"/>
    <col min="6" max="27" width="9" style="11" customWidth="1"/>
    <col min="28" max="16384" width="9" style="11"/>
  </cols>
  <sheetData>
    <row r="1" spans="1:17" ht="27.95" customHeight="1">
      <c r="A1" s="70" t="s">
        <v>42</v>
      </c>
      <c r="B1" s="71" t="s">
        <v>43</v>
      </c>
      <c r="C1" s="71" t="s">
        <v>43</v>
      </c>
      <c r="D1" s="72" t="s">
        <v>44</v>
      </c>
      <c r="E1" s="73" t="s">
        <v>45</v>
      </c>
      <c r="F1" s="71" t="s">
        <v>46</v>
      </c>
      <c r="G1" s="71" t="s">
        <v>46</v>
      </c>
      <c r="H1" s="74" t="s">
        <v>46</v>
      </c>
      <c r="I1" s="71" t="s">
        <v>46</v>
      </c>
      <c r="J1" s="71" t="s">
        <v>46</v>
      </c>
      <c r="K1" s="74" t="s">
        <v>46</v>
      </c>
      <c r="L1" s="71" t="s">
        <v>46</v>
      </c>
      <c r="M1" s="71" t="s">
        <v>46</v>
      </c>
      <c r="N1" s="74" t="s">
        <v>46</v>
      </c>
      <c r="O1" s="71" t="s">
        <v>46</v>
      </c>
      <c r="P1" s="71" t="s">
        <v>46</v>
      </c>
      <c r="Q1" s="74" t="s">
        <v>46</v>
      </c>
    </row>
    <row r="2" spans="1:17" ht="14.45" customHeight="1">
      <c r="A2" s="75">
        <v>1</v>
      </c>
      <c r="B2" s="76"/>
      <c r="C2" s="77" t="s">
        <v>400</v>
      </c>
      <c r="D2" s="77" t="s">
        <v>48</v>
      </c>
      <c r="E2" s="78" t="s">
        <v>401</v>
      </c>
      <c r="F2" s="79" t="s">
        <v>50</v>
      </c>
      <c r="G2" s="79" t="s">
        <v>50</v>
      </c>
      <c r="H2" s="80" t="s">
        <v>50</v>
      </c>
      <c r="I2" s="79" t="s">
        <v>51</v>
      </c>
      <c r="J2" s="79" t="s">
        <v>51</v>
      </c>
      <c r="K2" s="80" t="s">
        <v>51</v>
      </c>
      <c r="L2" s="79"/>
      <c r="M2" s="79"/>
      <c r="N2" s="80"/>
      <c r="O2" s="79"/>
      <c r="P2" s="79"/>
      <c r="Q2" s="80"/>
    </row>
    <row r="3" spans="1:17" ht="60" customHeight="1">
      <c r="A3" s="81">
        <v>1</v>
      </c>
      <c r="B3" s="82"/>
      <c r="C3" s="83" t="s">
        <v>400</v>
      </c>
      <c r="D3" s="83" t="s">
        <v>48</v>
      </c>
      <c r="E3" s="84" t="s">
        <v>401</v>
      </c>
      <c r="F3" s="85"/>
      <c r="G3" s="86" t="s">
        <v>402</v>
      </c>
      <c r="H3" s="87" t="s">
        <v>402</v>
      </c>
      <c r="I3" s="85"/>
      <c r="J3" s="86" t="s">
        <v>403</v>
      </c>
      <c r="K3" s="87" t="s">
        <v>403</v>
      </c>
      <c r="L3" s="86"/>
      <c r="M3" s="86"/>
      <c r="N3" s="87"/>
      <c r="O3" s="86"/>
      <c r="P3" s="86"/>
      <c r="Q3" s="87"/>
    </row>
    <row r="4" spans="1:17" ht="45" customHeight="1">
      <c r="A4" s="81">
        <v>1</v>
      </c>
      <c r="B4" s="82"/>
      <c r="C4" s="83" t="s">
        <v>400</v>
      </c>
      <c r="D4" s="83" t="s">
        <v>48</v>
      </c>
      <c r="E4" s="84" t="s">
        <v>401</v>
      </c>
      <c r="F4" s="85"/>
      <c r="G4" s="85"/>
      <c r="H4" s="88"/>
      <c r="I4" s="85"/>
      <c r="J4" s="85"/>
      <c r="K4" s="88"/>
      <c r="L4" s="86"/>
      <c r="M4" s="86"/>
      <c r="N4" s="87"/>
      <c r="O4" s="86"/>
      <c r="P4" s="86"/>
      <c r="Q4" s="87"/>
    </row>
    <row r="5" spans="1:17" ht="14.45" customHeight="1">
      <c r="A5" s="81">
        <v>1</v>
      </c>
      <c r="B5" s="82"/>
      <c r="C5" s="83" t="s">
        <v>400</v>
      </c>
      <c r="D5" s="83" t="s">
        <v>48</v>
      </c>
      <c r="E5" s="84" t="s">
        <v>401</v>
      </c>
      <c r="F5" s="89">
        <v>898</v>
      </c>
      <c r="G5" s="89">
        <v>2974</v>
      </c>
      <c r="H5" s="90">
        <v>951</v>
      </c>
      <c r="I5" s="89">
        <v>898</v>
      </c>
      <c r="J5" s="89">
        <v>2974</v>
      </c>
      <c r="K5" s="90">
        <v>951</v>
      </c>
      <c r="L5" s="86"/>
      <c r="M5" s="86"/>
      <c r="N5" s="87"/>
      <c r="O5" s="86"/>
      <c r="P5" s="86"/>
      <c r="Q5" s="87"/>
    </row>
    <row r="6" spans="1:17" ht="45" customHeight="1">
      <c r="A6" s="81">
        <v>1</v>
      </c>
      <c r="B6" s="82"/>
      <c r="C6" s="83" t="s">
        <v>400</v>
      </c>
      <c r="D6" s="83" t="s">
        <v>48</v>
      </c>
      <c r="E6" s="84" t="s">
        <v>401</v>
      </c>
      <c r="F6" s="85"/>
      <c r="G6" s="85"/>
      <c r="H6" s="88"/>
      <c r="I6" s="85"/>
      <c r="J6" s="85"/>
      <c r="K6" s="88"/>
      <c r="L6" s="86"/>
      <c r="M6" s="86"/>
      <c r="N6" s="87"/>
      <c r="O6" s="86"/>
      <c r="P6" s="86"/>
      <c r="Q6" s="87"/>
    </row>
    <row r="7" spans="1:17" ht="14.45" customHeight="1">
      <c r="A7" s="81">
        <v>1</v>
      </c>
      <c r="B7" s="82"/>
      <c r="C7" s="83" t="s">
        <v>400</v>
      </c>
      <c r="D7" s="83" t="s">
        <v>48</v>
      </c>
      <c r="E7" s="84" t="s">
        <v>401</v>
      </c>
      <c r="F7" s="89">
        <v>963</v>
      </c>
      <c r="G7" s="89">
        <v>496</v>
      </c>
      <c r="H7" s="90">
        <v>20</v>
      </c>
      <c r="I7" s="89">
        <v>963</v>
      </c>
      <c r="J7" s="89">
        <v>496</v>
      </c>
      <c r="K7" s="90">
        <v>20</v>
      </c>
      <c r="L7" s="86"/>
      <c r="M7" s="86"/>
      <c r="N7" s="87"/>
      <c r="O7" s="86"/>
      <c r="P7" s="86"/>
      <c r="Q7" s="87"/>
    </row>
    <row r="8" spans="1:17" ht="24" customHeight="1">
      <c r="A8" s="91">
        <v>1</v>
      </c>
      <c r="B8" s="92"/>
      <c r="C8" s="93" t="s">
        <v>400</v>
      </c>
      <c r="D8" s="93" t="s">
        <v>48</v>
      </c>
      <c r="E8" s="94" t="s">
        <v>401</v>
      </c>
      <c r="F8" s="95" t="s">
        <v>56</v>
      </c>
      <c r="G8" s="96">
        <v>1050000</v>
      </c>
      <c r="H8" s="97">
        <v>1050000</v>
      </c>
      <c r="I8" s="95" t="s">
        <v>56</v>
      </c>
      <c r="J8" s="96">
        <v>1050000</v>
      </c>
      <c r="K8" s="97">
        <v>1050000</v>
      </c>
      <c r="L8" s="98"/>
      <c r="M8" s="98"/>
      <c r="N8" s="99"/>
      <c r="O8" s="98"/>
      <c r="P8" s="98"/>
      <c r="Q8" s="99"/>
    </row>
    <row r="9" spans="1:17" ht="14.45" customHeight="1">
      <c r="A9" s="75">
        <v>2</v>
      </c>
      <c r="B9" s="76"/>
      <c r="C9" s="77" t="s">
        <v>404</v>
      </c>
      <c r="D9" s="77" t="s">
        <v>48</v>
      </c>
      <c r="E9" s="78" t="s">
        <v>401</v>
      </c>
      <c r="F9" s="79" t="s">
        <v>50</v>
      </c>
      <c r="G9" s="79" t="s">
        <v>50</v>
      </c>
      <c r="H9" s="80" t="s">
        <v>50</v>
      </c>
      <c r="I9" s="79"/>
      <c r="J9" s="79"/>
      <c r="K9" s="80"/>
      <c r="L9" s="79"/>
      <c r="M9" s="79"/>
      <c r="N9" s="80"/>
      <c r="O9" s="79"/>
      <c r="P9" s="79"/>
      <c r="Q9" s="80"/>
    </row>
    <row r="10" spans="1:17" ht="60" customHeight="1">
      <c r="A10" s="81">
        <v>2</v>
      </c>
      <c r="B10" s="82"/>
      <c r="C10" s="83" t="s">
        <v>404</v>
      </c>
      <c r="D10" s="83" t="s">
        <v>48</v>
      </c>
      <c r="E10" s="84" t="s">
        <v>401</v>
      </c>
      <c r="F10" s="85"/>
      <c r="G10" s="86" t="s">
        <v>405</v>
      </c>
      <c r="H10" s="87" t="s">
        <v>405</v>
      </c>
      <c r="I10" s="86"/>
      <c r="J10" s="86"/>
      <c r="K10" s="87"/>
      <c r="L10" s="86"/>
      <c r="M10" s="86"/>
      <c r="N10" s="87"/>
      <c r="O10" s="86"/>
      <c r="P10" s="86"/>
      <c r="Q10" s="87"/>
    </row>
    <row r="11" spans="1:17" ht="45" customHeight="1">
      <c r="A11" s="81">
        <v>2</v>
      </c>
      <c r="B11" s="82"/>
      <c r="C11" s="83" t="s">
        <v>404</v>
      </c>
      <c r="D11" s="83" t="s">
        <v>48</v>
      </c>
      <c r="E11" s="84" t="s">
        <v>401</v>
      </c>
      <c r="F11" s="85"/>
      <c r="G11" s="85"/>
      <c r="H11" s="88"/>
      <c r="I11" s="86"/>
      <c r="J11" s="86"/>
      <c r="K11" s="87"/>
      <c r="L11" s="86"/>
      <c r="M11" s="86"/>
      <c r="N11" s="87"/>
      <c r="O11" s="86"/>
      <c r="P11" s="86"/>
      <c r="Q11" s="87"/>
    </row>
    <row r="12" spans="1:17" ht="14.45" customHeight="1">
      <c r="A12" s="81">
        <v>2</v>
      </c>
      <c r="B12" s="82"/>
      <c r="C12" s="83" t="s">
        <v>404</v>
      </c>
      <c r="D12" s="83" t="s">
        <v>48</v>
      </c>
      <c r="E12" s="84" t="s">
        <v>401</v>
      </c>
      <c r="F12" s="89">
        <v>898</v>
      </c>
      <c r="G12" s="89">
        <v>2327</v>
      </c>
      <c r="H12" s="90">
        <v>1215</v>
      </c>
      <c r="I12" s="86"/>
      <c r="J12" s="86"/>
      <c r="K12" s="87"/>
      <c r="L12" s="86"/>
      <c r="M12" s="86"/>
      <c r="N12" s="87"/>
      <c r="O12" s="86"/>
      <c r="P12" s="86"/>
      <c r="Q12" s="87"/>
    </row>
    <row r="13" spans="1:17" ht="45" customHeight="1">
      <c r="A13" s="81">
        <v>2</v>
      </c>
      <c r="B13" s="82"/>
      <c r="C13" s="83" t="s">
        <v>404</v>
      </c>
      <c r="D13" s="83" t="s">
        <v>48</v>
      </c>
      <c r="E13" s="84" t="s">
        <v>401</v>
      </c>
      <c r="F13" s="85"/>
      <c r="G13" s="85"/>
      <c r="H13" s="88"/>
      <c r="I13" s="86"/>
      <c r="J13" s="86"/>
      <c r="K13" s="87"/>
      <c r="L13" s="86"/>
      <c r="M13" s="86"/>
      <c r="N13" s="87"/>
      <c r="O13" s="86"/>
      <c r="P13" s="86"/>
      <c r="Q13" s="87"/>
    </row>
    <row r="14" spans="1:17" ht="14.45" customHeight="1">
      <c r="A14" s="81">
        <v>2</v>
      </c>
      <c r="B14" s="82"/>
      <c r="C14" s="83" t="s">
        <v>404</v>
      </c>
      <c r="D14" s="83" t="s">
        <v>48</v>
      </c>
      <c r="E14" s="84" t="s">
        <v>401</v>
      </c>
      <c r="F14" s="89">
        <v>753</v>
      </c>
      <c r="G14" s="89">
        <v>634</v>
      </c>
      <c r="H14" s="90">
        <v>20</v>
      </c>
      <c r="I14" s="86"/>
      <c r="J14" s="86"/>
      <c r="K14" s="87"/>
      <c r="L14" s="86"/>
      <c r="M14" s="86"/>
      <c r="N14" s="87"/>
      <c r="O14" s="86"/>
      <c r="P14" s="86"/>
      <c r="Q14" s="87"/>
    </row>
    <row r="15" spans="1:17" ht="24" customHeight="1">
      <c r="A15" s="91">
        <v>2</v>
      </c>
      <c r="B15" s="92"/>
      <c r="C15" s="93" t="s">
        <v>404</v>
      </c>
      <c r="D15" s="93" t="s">
        <v>48</v>
      </c>
      <c r="E15" s="94" t="s">
        <v>401</v>
      </c>
      <c r="F15" s="95" t="s">
        <v>56</v>
      </c>
      <c r="G15" s="96">
        <v>1050000</v>
      </c>
      <c r="H15" s="97">
        <v>1050000</v>
      </c>
      <c r="I15" s="98"/>
      <c r="J15" s="98"/>
      <c r="K15" s="99"/>
      <c r="L15" s="98"/>
      <c r="M15" s="98"/>
      <c r="N15" s="99"/>
      <c r="O15" s="98"/>
      <c r="P15" s="98"/>
      <c r="Q15" s="99"/>
    </row>
    <row r="16" spans="1:17" ht="14.45" customHeight="1">
      <c r="A16" s="75">
        <v>3</v>
      </c>
      <c r="B16" s="76"/>
      <c r="C16" s="77" t="s">
        <v>406</v>
      </c>
      <c r="D16" s="77" t="s">
        <v>48</v>
      </c>
      <c r="E16" s="78" t="s">
        <v>401</v>
      </c>
      <c r="F16" s="79" t="s">
        <v>50</v>
      </c>
      <c r="G16" s="79" t="s">
        <v>50</v>
      </c>
      <c r="H16" s="80" t="s">
        <v>50</v>
      </c>
      <c r="I16" s="79" t="s">
        <v>51</v>
      </c>
      <c r="J16" s="79" t="s">
        <v>51</v>
      </c>
      <c r="K16" s="80" t="s">
        <v>51</v>
      </c>
      <c r="L16" s="79"/>
      <c r="M16" s="79"/>
      <c r="N16" s="80"/>
      <c r="O16" s="79"/>
      <c r="P16" s="79"/>
      <c r="Q16" s="80"/>
    </row>
    <row r="17" spans="1:17" ht="60" customHeight="1">
      <c r="A17" s="81">
        <v>3</v>
      </c>
      <c r="B17" s="82"/>
      <c r="C17" s="83" t="s">
        <v>406</v>
      </c>
      <c r="D17" s="83" t="s">
        <v>48</v>
      </c>
      <c r="E17" s="84" t="s">
        <v>401</v>
      </c>
      <c r="F17" s="85"/>
      <c r="G17" s="86" t="s">
        <v>407</v>
      </c>
      <c r="H17" s="87" t="s">
        <v>407</v>
      </c>
      <c r="I17" s="85"/>
      <c r="J17" s="86" t="s">
        <v>403</v>
      </c>
      <c r="K17" s="87" t="s">
        <v>403</v>
      </c>
      <c r="L17" s="86"/>
      <c r="M17" s="86"/>
      <c r="N17" s="87"/>
      <c r="O17" s="86"/>
      <c r="P17" s="86"/>
      <c r="Q17" s="87"/>
    </row>
    <row r="18" spans="1:17" ht="45" customHeight="1">
      <c r="A18" s="81">
        <v>3</v>
      </c>
      <c r="B18" s="82"/>
      <c r="C18" s="83" t="s">
        <v>406</v>
      </c>
      <c r="D18" s="83" t="s">
        <v>48</v>
      </c>
      <c r="E18" s="84" t="s">
        <v>401</v>
      </c>
      <c r="F18" s="85"/>
      <c r="G18" s="85"/>
      <c r="H18" s="88"/>
      <c r="I18" s="85"/>
      <c r="J18" s="85"/>
      <c r="K18" s="88"/>
      <c r="L18" s="86"/>
      <c r="M18" s="86"/>
      <c r="N18" s="87"/>
      <c r="O18" s="86"/>
      <c r="P18" s="86"/>
      <c r="Q18" s="87"/>
    </row>
    <row r="19" spans="1:17" ht="14.45" customHeight="1">
      <c r="A19" s="81">
        <v>3</v>
      </c>
      <c r="B19" s="82"/>
      <c r="C19" s="83" t="s">
        <v>406</v>
      </c>
      <c r="D19" s="83" t="s">
        <v>48</v>
      </c>
      <c r="E19" s="84" t="s">
        <v>401</v>
      </c>
      <c r="F19" s="89">
        <v>898</v>
      </c>
      <c r="G19" s="89">
        <v>2327</v>
      </c>
      <c r="H19" s="90">
        <v>1215</v>
      </c>
      <c r="I19" s="89">
        <v>898</v>
      </c>
      <c r="J19" s="89">
        <v>2327</v>
      </c>
      <c r="K19" s="90">
        <v>1215</v>
      </c>
      <c r="L19" s="86"/>
      <c r="M19" s="86"/>
      <c r="N19" s="87"/>
      <c r="O19" s="86"/>
      <c r="P19" s="86"/>
      <c r="Q19" s="87"/>
    </row>
    <row r="20" spans="1:17" ht="45" customHeight="1">
      <c r="A20" s="81">
        <v>3</v>
      </c>
      <c r="B20" s="82"/>
      <c r="C20" s="83" t="s">
        <v>406</v>
      </c>
      <c r="D20" s="83" t="s">
        <v>48</v>
      </c>
      <c r="E20" s="84" t="s">
        <v>401</v>
      </c>
      <c r="F20" s="85"/>
      <c r="G20" s="85"/>
      <c r="H20" s="88"/>
      <c r="I20" s="85"/>
      <c r="J20" s="85"/>
      <c r="K20" s="88"/>
      <c r="L20" s="86"/>
      <c r="M20" s="86"/>
      <c r="N20" s="87"/>
      <c r="O20" s="86"/>
      <c r="P20" s="86"/>
      <c r="Q20" s="87"/>
    </row>
    <row r="21" spans="1:17" ht="14.45" customHeight="1">
      <c r="A21" s="81">
        <v>3</v>
      </c>
      <c r="B21" s="82"/>
      <c r="C21" s="83" t="s">
        <v>406</v>
      </c>
      <c r="D21" s="83" t="s">
        <v>48</v>
      </c>
      <c r="E21" s="84" t="s">
        <v>401</v>
      </c>
      <c r="F21" s="89">
        <v>963</v>
      </c>
      <c r="G21" s="89">
        <v>496</v>
      </c>
      <c r="H21" s="90">
        <v>20</v>
      </c>
      <c r="I21" s="89">
        <v>963</v>
      </c>
      <c r="J21" s="89">
        <v>496</v>
      </c>
      <c r="K21" s="90">
        <v>20</v>
      </c>
      <c r="L21" s="86"/>
      <c r="M21" s="86"/>
      <c r="N21" s="87"/>
      <c r="O21" s="86"/>
      <c r="P21" s="86"/>
      <c r="Q21" s="87"/>
    </row>
    <row r="22" spans="1:17" ht="24" customHeight="1">
      <c r="A22" s="91">
        <v>3</v>
      </c>
      <c r="B22" s="92"/>
      <c r="C22" s="93" t="s">
        <v>406</v>
      </c>
      <c r="D22" s="93" t="s">
        <v>48</v>
      </c>
      <c r="E22" s="94" t="s">
        <v>401</v>
      </c>
      <c r="F22" s="95" t="s">
        <v>56</v>
      </c>
      <c r="G22" s="96">
        <v>1050000</v>
      </c>
      <c r="H22" s="97">
        <v>1050000</v>
      </c>
      <c r="I22" s="95" t="s">
        <v>56</v>
      </c>
      <c r="J22" s="96">
        <v>1050000</v>
      </c>
      <c r="K22" s="97">
        <v>1050000</v>
      </c>
      <c r="L22" s="98"/>
      <c r="M22" s="98"/>
      <c r="N22" s="99"/>
      <c r="O22" s="98"/>
      <c r="P22" s="98"/>
      <c r="Q22" s="99"/>
    </row>
    <row r="23" spans="1:17" ht="14.45" customHeight="1">
      <c r="A23" s="75">
        <v>4</v>
      </c>
      <c r="B23" s="76"/>
      <c r="C23" s="77" t="s">
        <v>408</v>
      </c>
      <c r="D23" s="77" t="s">
        <v>48</v>
      </c>
      <c r="E23" s="78" t="s">
        <v>401</v>
      </c>
      <c r="F23" s="79" t="s">
        <v>50</v>
      </c>
      <c r="G23" s="79" t="s">
        <v>50</v>
      </c>
      <c r="H23" s="80" t="s">
        <v>50</v>
      </c>
      <c r="I23" s="79"/>
      <c r="J23" s="79"/>
      <c r="K23" s="80"/>
      <c r="L23" s="79"/>
      <c r="M23" s="79"/>
      <c r="N23" s="80"/>
      <c r="O23" s="79"/>
      <c r="P23" s="79"/>
      <c r="Q23" s="80"/>
    </row>
    <row r="24" spans="1:17" ht="60" customHeight="1">
      <c r="A24" s="81">
        <v>4</v>
      </c>
      <c r="B24" s="82"/>
      <c r="C24" s="83" t="s">
        <v>408</v>
      </c>
      <c r="D24" s="83" t="s">
        <v>48</v>
      </c>
      <c r="E24" s="84" t="s">
        <v>401</v>
      </c>
      <c r="F24" s="85"/>
      <c r="G24" s="86" t="s">
        <v>409</v>
      </c>
      <c r="H24" s="87" t="s">
        <v>409</v>
      </c>
      <c r="I24" s="86"/>
      <c r="J24" s="86"/>
      <c r="K24" s="87"/>
      <c r="L24" s="86"/>
      <c r="M24" s="86"/>
      <c r="N24" s="87"/>
      <c r="O24" s="86"/>
      <c r="P24" s="86"/>
      <c r="Q24" s="87"/>
    </row>
    <row r="25" spans="1:17" ht="45" customHeight="1">
      <c r="A25" s="81">
        <v>4</v>
      </c>
      <c r="B25" s="82"/>
      <c r="C25" s="83" t="s">
        <v>408</v>
      </c>
      <c r="D25" s="83" t="s">
        <v>48</v>
      </c>
      <c r="E25" s="84" t="s">
        <v>401</v>
      </c>
      <c r="F25" s="85"/>
      <c r="G25" s="85"/>
      <c r="H25" s="88"/>
      <c r="I25" s="86"/>
      <c r="J25" s="86"/>
      <c r="K25" s="87"/>
      <c r="L25" s="86"/>
      <c r="M25" s="86"/>
      <c r="N25" s="87"/>
      <c r="O25" s="86"/>
      <c r="P25" s="86"/>
      <c r="Q25" s="87"/>
    </row>
    <row r="26" spans="1:17" ht="14.45" customHeight="1">
      <c r="A26" s="81">
        <v>4</v>
      </c>
      <c r="B26" s="82"/>
      <c r="C26" s="83" t="s">
        <v>408</v>
      </c>
      <c r="D26" s="83" t="s">
        <v>48</v>
      </c>
      <c r="E26" s="84" t="s">
        <v>401</v>
      </c>
      <c r="F26" s="89">
        <v>1147</v>
      </c>
      <c r="G26" s="89">
        <v>2327</v>
      </c>
      <c r="H26" s="90">
        <v>951</v>
      </c>
      <c r="I26" s="86"/>
      <c r="J26" s="86"/>
      <c r="K26" s="87"/>
      <c r="L26" s="86"/>
      <c r="M26" s="86"/>
      <c r="N26" s="87"/>
      <c r="O26" s="86"/>
      <c r="P26" s="86"/>
      <c r="Q26" s="87"/>
    </row>
    <row r="27" spans="1:17" ht="45" customHeight="1">
      <c r="A27" s="81">
        <v>4</v>
      </c>
      <c r="B27" s="82"/>
      <c r="C27" s="83" t="s">
        <v>408</v>
      </c>
      <c r="D27" s="83" t="s">
        <v>48</v>
      </c>
      <c r="E27" s="84" t="s">
        <v>401</v>
      </c>
      <c r="F27" s="85"/>
      <c r="G27" s="85"/>
      <c r="H27" s="88"/>
      <c r="I27" s="86"/>
      <c r="J27" s="86"/>
      <c r="K27" s="87"/>
      <c r="L27" s="86"/>
      <c r="M27" s="86"/>
      <c r="N27" s="87"/>
      <c r="O27" s="86"/>
      <c r="P27" s="86"/>
      <c r="Q27" s="87"/>
    </row>
    <row r="28" spans="1:17" ht="14.45" customHeight="1">
      <c r="A28" s="81">
        <v>4</v>
      </c>
      <c r="B28" s="82"/>
      <c r="C28" s="83" t="s">
        <v>408</v>
      </c>
      <c r="D28" s="83" t="s">
        <v>48</v>
      </c>
      <c r="E28" s="84" t="s">
        <v>401</v>
      </c>
      <c r="F28" s="89">
        <v>963</v>
      </c>
      <c r="G28" s="89">
        <v>496</v>
      </c>
      <c r="H28" s="90">
        <v>20</v>
      </c>
      <c r="I28" s="86"/>
      <c r="J28" s="86"/>
      <c r="K28" s="87"/>
      <c r="L28" s="86"/>
      <c r="M28" s="86"/>
      <c r="N28" s="87"/>
      <c r="O28" s="86"/>
      <c r="P28" s="86"/>
      <c r="Q28" s="87"/>
    </row>
    <row r="29" spans="1:17" ht="24" customHeight="1">
      <c r="A29" s="91">
        <v>4</v>
      </c>
      <c r="B29" s="92"/>
      <c r="C29" s="93" t="s">
        <v>408</v>
      </c>
      <c r="D29" s="93" t="s">
        <v>48</v>
      </c>
      <c r="E29" s="94" t="s">
        <v>401</v>
      </c>
      <c r="F29" s="95" t="s">
        <v>56</v>
      </c>
      <c r="G29" s="96">
        <v>1050000</v>
      </c>
      <c r="H29" s="97">
        <v>1050000</v>
      </c>
      <c r="I29" s="98"/>
      <c r="J29" s="98"/>
      <c r="K29" s="99"/>
      <c r="L29" s="98"/>
      <c r="M29" s="98"/>
      <c r="N29" s="99"/>
      <c r="O29" s="98"/>
      <c r="P29" s="98"/>
      <c r="Q29" s="99"/>
    </row>
    <row r="30" spans="1:17" ht="14.45" customHeight="1">
      <c r="A30" s="75">
        <v>5</v>
      </c>
      <c r="B30" s="76"/>
      <c r="C30" s="77" t="s">
        <v>410</v>
      </c>
      <c r="D30" s="77" t="s">
        <v>48</v>
      </c>
      <c r="E30" s="78" t="s">
        <v>411</v>
      </c>
      <c r="F30" s="79" t="s">
        <v>50</v>
      </c>
      <c r="G30" s="79" t="s">
        <v>50</v>
      </c>
      <c r="H30" s="80" t="s">
        <v>50</v>
      </c>
      <c r="I30" s="79"/>
      <c r="J30" s="79"/>
      <c r="K30" s="80"/>
      <c r="L30" s="79"/>
      <c r="M30" s="79"/>
      <c r="N30" s="80"/>
      <c r="O30" s="79"/>
      <c r="P30" s="79"/>
      <c r="Q30" s="80"/>
    </row>
    <row r="31" spans="1:17" ht="60" customHeight="1">
      <c r="A31" s="81">
        <v>5</v>
      </c>
      <c r="B31" s="82"/>
      <c r="C31" s="83" t="s">
        <v>410</v>
      </c>
      <c r="D31" s="83" t="s">
        <v>48</v>
      </c>
      <c r="E31" s="84" t="s">
        <v>411</v>
      </c>
      <c r="F31" s="85"/>
      <c r="G31" s="86" t="s">
        <v>412</v>
      </c>
      <c r="H31" s="87" t="s">
        <v>412</v>
      </c>
      <c r="I31" s="86"/>
      <c r="J31" s="86"/>
      <c r="K31" s="87"/>
      <c r="L31" s="86"/>
      <c r="M31" s="86"/>
      <c r="N31" s="87"/>
      <c r="O31" s="86"/>
      <c r="P31" s="86"/>
      <c r="Q31" s="87"/>
    </row>
    <row r="32" spans="1:17" ht="45" customHeight="1">
      <c r="A32" s="81">
        <v>5</v>
      </c>
      <c r="B32" s="82"/>
      <c r="C32" s="83" t="s">
        <v>410</v>
      </c>
      <c r="D32" s="83" t="s">
        <v>48</v>
      </c>
      <c r="E32" s="84" t="s">
        <v>411</v>
      </c>
      <c r="F32" s="85"/>
      <c r="G32" s="85"/>
      <c r="H32" s="88"/>
      <c r="I32" s="86"/>
      <c r="J32" s="86"/>
      <c r="K32" s="87"/>
      <c r="L32" s="86"/>
      <c r="M32" s="86"/>
      <c r="N32" s="87"/>
      <c r="O32" s="86"/>
      <c r="P32" s="86"/>
      <c r="Q32" s="87"/>
    </row>
    <row r="33" spans="1:17" ht="14.45" customHeight="1">
      <c r="A33" s="81">
        <v>5</v>
      </c>
      <c r="B33" s="82"/>
      <c r="C33" s="83" t="s">
        <v>410</v>
      </c>
      <c r="D33" s="83" t="s">
        <v>48</v>
      </c>
      <c r="E33" s="84" t="s">
        <v>411</v>
      </c>
      <c r="F33" s="89">
        <v>998</v>
      </c>
      <c r="G33" s="89">
        <v>4137</v>
      </c>
      <c r="H33" s="90">
        <v>845</v>
      </c>
      <c r="I33" s="86"/>
      <c r="J33" s="86"/>
      <c r="K33" s="87"/>
      <c r="L33" s="86"/>
      <c r="M33" s="86"/>
      <c r="N33" s="87"/>
      <c r="O33" s="86"/>
      <c r="P33" s="86"/>
      <c r="Q33" s="87"/>
    </row>
    <row r="34" spans="1:17" ht="45" customHeight="1">
      <c r="A34" s="81">
        <v>5</v>
      </c>
      <c r="B34" s="82"/>
      <c r="C34" s="83" t="s">
        <v>410</v>
      </c>
      <c r="D34" s="83" t="s">
        <v>48</v>
      </c>
      <c r="E34" s="84" t="s">
        <v>411</v>
      </c>
      <c r="F34" s="85"/>
      <c r="G34" s="85"/>
      <c r="H34" s="88"/>
      <c r="I34" s="86"/>
      <c r="J34" s="86"/>
      <c r="K34" s="87"/>
      <c r="L34" s="86"/>
      <c r="M34" s="86"/>
      <c r="N34" s="87"/>
      <c r="O34" s="86"/>
      <c r="P34" s="86"/>
      <c r="Q34" s="87"/>
    </row>
    <row r="35" spans="1:17" ht="14.45" customHeight="1">
      <c r="A35" s="81">
        <v>5</v>
      </c>
      <c r="B35" s="82"/>
      <c r="C35" s="83" t="s">
        <v>410</v>
      </c>
      <c r="D35" s="83" t="s">
        <v>48</v>
      </c>
      <c r="E35" s="84" t="s">
        <v>411</v>
      </c>
      <c r="F35" s="89">
        <v>670</v>
      </c>
      <c r="G35" s="89">
        <v>441</v>
      </c>
      <c r="H35" s="90">
        <v>20</v>
      </c>
      <c r="I35" s="86"/>
      <c r="J35" s="86"/>
      <c r="K35" s="87"/>
      <c r="L35" s="86"/>
      <c r="M35" s="86"/>
      <c r="N35" s="87"/>
      <c r="O35" s="86"/>
      <c r="P35" s="86"/>
      <c r="Q35" s="87"/>
    </row>
    <row r="36" spans="1:17" ht="24" customHeight="1">
      <c r="A36" s="91">
        <v>5</v>
      </c>
      <c r="B36" s="92"/>
      <c r="C36" s="93" t="s">
        <v>410</v>
      </c>
      <c r="D36" s="93" t="s">
        <v>48</v>
      </c>
      <c r="E36" s="94" t="s">
        <v>411</v>
      </c>
      <c r="F36" s="95" t="s">
        <v>56</v>
      </c>
      <c r="G36" s="96">
        <v>1050000</v>
      </c>
      <c r="H36" s="97">
        <v>1050000</v>
      </c>
      <c r="I36" s="98"/>
      <c r="J36" s="98"/>
      <c r="K36" s="99"/>
      <c r="L36" s="98"/>
      <c r="M36" s="98"/>
      <c r="N36" s="99"/>
      <c r="O36" s="98"/>
      <c r="P36" s="98"/>
      <c r="Q36" s="99"/>
    </row>
    <row r="37" spans="1:17" ht="14.45" customHeight="1">
      <c r="A37" s="75">
        <v>6</v>
      </c>
      <c r="B37" s="76"/>
      <c r="C37" s="77" t="s">
        <v>413</v>
      </c>
      <c r="D37" s="77" t="s">
        <v>48</v>
      </c>
      <c r="E37" s="78" t="s">
        <v>411</v>
      </c>
      <c r="F37" s="79" t="s">
        <v>50</v>
      </c>
      <c r="G37" s="79" t="s">
        <v>50</v>
      </c>
      <c r="H37" s="80" t="s">
        <v>50</v>
      </c>
      <c r="I37" s="79"/>
      <c r="J37" s="79"/>
      <c r="K37" s="80"/>
      <c r="L37" s="79"/>
      <c r="M37" s="79"/>
      <c r="N37" s="80"/>
      <c r="O37" s="79"/>
      <c r="P37" s="79"/>
      <c r="Q37" s="80"/>
    </row>
    <row r="38" spans="1:17" ht="60" customHeight="1">
      <c r="A38" s="81">
        <v>6</v>
      </c>
      <c r="B38" s="82"/>
      <c r="C38" s="83" t="s">
        <v>413</v>
      </c>
      <c r="D38" s="83" t="s">
        <v>48</v>
      </c>
      <c r="E38" s="84" t="s">
        <v>411</v>
      </c>
      <c r="F38" s="85"/>
      <c r="G38" s="86" t="s">
        <v>414</v>
      </c>
      <c r="H38" s="87" t="s">
        <v>414</v>
      </c>
      <c r="I38" s="86"/>
      <c r="J38" s="86"/>
      <c r="K38" s="87"/>
      <c r="L38" s="86"/>
      <c r="M38" s="86"/>
      <c r="N38" s="87"/>
      <c r="O38" s="86"/>
      <c r="P38" s="86"/>
      <c r="Q38" s="87"/>
    </row>
    <row r="39" spans="1:17" ht="45" customHeight="1">
      <c r="A39" s="81">
        <v>6</v>
      </c>
      <c r="B39" s="82"/>
      <c r="C39" s="83" t="s">
        <v>413</v>
      </c>
      <c r="D39" s="83" t="s">
        <v>48</v>
      </c>
      <c r="E39" s="84" t="s">
        <v>411</v>
      </c>
      <c r="F39" s="85"/>
      <c r="G39" s="85"/>
      <c r="H39" s="88"/>
      <c r="I39" s="86"/>
      <c r="J39" s="86"/>
      <c r="K39" s="87"/>
      <c r="L39" s="86"/>
      <c r="M39" s="86"/>
      <c r="N39" s="87"/>
      <c r="O39" s="86"/>
      <c r="P39" s="86"/>
      <c r="Q39" s="87"/>
    </row>
    <row r="40" spans="1:17" ht="14.45" customHeight="1">
      <c r="A40" s="81">
        <v>6</v>
      </c>
      <c r="B40" s="82"/>
      <c r="C40" s="83" t="s">
        <v>413</v>
      </c>
      <c r="D40" s="83" t="s">
        <v>48</v>
      </c>
      <c r="E40" s="84" t="s">
        <v>411</v>
      </c>
      <c r="F40" s="89">
        <v>1297</v>
      </c>
      <c r="G40" s="89">
        <v>3362</v>
      </c>
      <c r="H40" s="90">
        <v>845</v>
      </c>
      <c r="I40" s="86"/>
      <c r="J40" s="86"/>
      <c r="K40" s="87"/>
      <c r="L40" s="86"/>
      <c r="M40" s="86"/>
      <c r="N40" s="87"/>
      <c r="O40" s="86"/>
      <c r="P40" s="86"/>
      <c r="Q40" s="87"/>
    </row>
    <row r="41" spans="1:17" ht="45" customHeight="1">
      <c r="A41" s="81">
        <v>6</v>
      </c>
      <c r="B41" s="82"/>
      <c r="C41" s="83" t="s">
        <v>413</v>
      </c>
      <c r="D41" s="83" t="s">
        <v>48</v>
      </c>
      <c r="E41" s="84" t="s">
        <v>411</v>
      </c>
      <c r="F41" s="85"/>
      <c r="G41" s="85"/>
      <c r="H41" s="88"/>
      <c r="I41" s="86"/>
      <c r="J41" s="86"/>
      <c r="K41" s="87"/>
      <c r="L41" s="86"/>
      <c r="M41" s="86"/>
      <c r="N41" s="87"/>
      <c r="O41" s="86"/>
      <c r="P41" s="86"/>
      <c r="Q41" s="87"/>
    </row>
    <row r="42" spans="1:17" ht="14.45" customHeight="1">
      <c r="A42" s="81">
        <v>6</v>
      </c>
      <c r="B42" s="82"/>
      <c r="C42" s="83" t="s">
        <v>413</v>
      </c>
      <c r="D42" s="83" t="s">
        <v>48</v>
      </c>
      <c r="E42" s="84" t="s">
        <v>411</v>
      </c>
      <c r="F42" s="89">
        <v>670</v>
      </c>
      <c r="G42" s="89">
        <v>441</v>
      </c>
      <c r="H42" s="90">
        <v>20</v>
      </c>
      <c r="I42" s="86"/>
      <c r="J42" s="86"/>
      <c r="K42" s="87"/>
      <c r="L42" s="86"/>
      <c r="M42" s="86"/>
      <c r="N42" s="87"/>
      <c r="O42" s="86"/>
      <c r="P42" s="86"/>
      <c r="Q42" s="87"/>
    </row>
    <row r="43" spans="1:17" ht="24" customHeight="1">
      <c r="A43" s="91">
        <v>6</v>
      </c>
      <c r="B43" s="92"/>
      <c r="C43" s="93" t="s">
        <v>413</v>
      </c>
      <c r="D43" s="93" t="s">
        <v>48</v>
      </c>
      <c r="E43" s="94" t="s">
        <v>411</v>
      </c>
      <c r="F43" s="95" t="s">
        <v>56</v>
      </c>
      <c r="G43" s="96">
        <v>1050000</v>
      </c>
      <c r="H43" s="97">
        <v>1050000</v>
      </c>
      <c r="I43" s="98"/>
      <c r="J43" s="98"/>
      <c r="K43" s="99"/>
      <c r="L43" s="98"/>
      <c r="M43" s="98"/>
      <c r="N43" s="99"/>
      <c r="O43" s="98"/>
      <c r="P43" s="98"/>
      <c r="Q43" s="99"/>
    </row>
    <row r="44" spans="1:17" ht="14.45" customHeight="1">
      <c r="A44" s="75">
        <v>7</v>
      </c>
      <c r="B44" s="76"/>
      <c r="C44" s="77" t="s">
        <v>415</v>
      </c>
      <c r="D44" s="77" t="s">
        <v>48</v>
      </c>
      <c r="E44" s="78" t="s">
        <v>411</v>
      </c>
      <c r="F44" s="79" t="s">
        <v>50</v>
      </c>
      <c r="G44" s="79" t="s">
        <v>50</v>
      </c>
      <c r="H44" s="80" t="s">
        <v>50</v>
      </c>
      <c r="I44" s="79"/>
      <c r="J44" s="79"/>
      <c r="K44" s="80"/>
      <c r="L44" s="79"/>
      <c r="M44" s="79"/>
      <c r="N44" s="80"/>
      <c r="O44" s="79"/>
      <c r="P44" s="79"/>
      <c r="Q44" s="80"/>
    </row>
    <row r="45" spans="1:17" ht="60" customHeight="1">
      <c r="A45" s="81">
        <v>7</v>
      </c>
      <c r="B45" s="82"/>
      <c r="C45" s="83" t="s">
        <v>415</v>
      </c>
      <c r="D45" s="83" t="s">
        <v>48</v>
      </c>
      <c r="E45" s="84" t="s">
        <v>411</v>
      </c>
      <c r="F45" s="85"/>
      <c r="G45" s="86" t="s">
        <v>416</v>
      </c>
      <c r="H45" s="87" t="s">
        <v>416</v>
      </c>
      <c r="I45" s="86"/>
      <c r="J45" s="86"/>
      <c r="K45" s="87"/>
      <c r="L45" s="86"/>
      <c r="M45" s="86"/>
      <c r="N45" s="87"/>
      <c r="O45" s="86"/>
      <c r="P45" s="86"/>
      <c r="Q45" s="87"/>
    </row>
    <row r="46" spans="1:17" ht="45" customHeight="1">
      <c r="A46" s="81">
        <v>7</v>
      </c>
      <c r="B46" s="82"/>
      <c r="C46" s="83" t="s">
        <v>415</v>
      </c>
      <c r="D46" s="83" t="s">
        <v>48</v>
      </c>
      <c r="E46" s="84" t="s">
        <v>411</v>
      </c>
      <c r="F46" s="85"/>
      <c r="G46" s="85"/>
      <c r="H46" s="88"/>
      <c r="I46" s="86"/>
      <c r="J46" s="86"/>
      <c r="K46" s="87"/>
      <c r="L46" s="86"/>
      <c r="M46" s="86"/>
      <c r="N46" s="87"/>
      <c r="O46" s="86"/>
      <c r="P46" s="86"/>
      <c r="Q46" s="87"/>
    </row>
    <row r="47" spans="1:17" ht="14.45" customHeight="1">
      <c r="A47" s="81">
        <v>7</v>
      </c>
      <c r="B47" s="82"/>
      <c r="C47" s="83" t="s">
        <v>415</v>
      </c>
      <c r="D47" s="83" t="s">
        <v>48</v>
      </c>
      <c r="E47" s="84" t="s">
        <v>411</v>
      </c>
      <c r="F47" s="89">
        <v>1596</v>
      </c>
      <c r="G47" s="89">
        <v>2586</v>
      </c>
      <c r="H47" s="90">
        <v>845</v>
      </c>
      <c r="I47" s="86"/>
      <c r="J47" s="86"/>
      <c r="K47" s="87"/>
      <c r="L47" s="86"/>
      <c r="M47" s="86"/>
      <c r="N47" s="87"/>
      <c r="O47" s="86"/>
      <c r="P47" s="86"/>
      <c r="Q47" s="87"/>
    </row>
    <row r="48" spans="1:17" ht="45" customHeight="1">
      <c r="A48" s="81">
        <v>7</v>
      </c>
      <c r="B48" s="82"/>
      <c r="C48" s="83" t="s">
        <v>415</v>
      </c>
      <c r="D48" s="83" t="s">
        <v>48</v>
      </c>
      <c r="E48" s="84" t="s">
        <v>411</v>
      </c>
      <c r="F48" s="85"/>
      <c r="G48" s="85"/>
      <c r="H48" s="88"/>
      <c r="I48" s="86"/>
      <c r="J48" s="86"/>
      <c r="K48" s="87"/>
      <c r="L48" s="86"/>
      <c r="M48" s="86"/>
      <c r="N48" s="87"/>
      <c r="O48" s="86"/>
      <c r="P48" s="86"/>
      <c r="Q48" s="87"/>
    </row>
    <row r="49" spans="1:17" ht="14.45" customHeight="1">
      <c r="A49" s="81">
        <v>7</v>
      </c>
      <c r="B49" s="82"/>
      <c r="C49" s="83" t="s">
        <v>415</v>
      </c>
      <c r="D49" s="83" t="s">
        <v>48</v>
      </c>
      <c r="E49" s="84" t="s">
        <v>411</v>
      </c>
      <c r="F49" s="89">
        <v>670</v>
      </c>
      <c r="G49" s="89">
        <v>441</v>
      </c>
      <c r="H49" s="90">
        <v>20</v>
      </c>
      <c r="I49" s="86"/>
      <c r="J49" s="86"/>
      <c r="K49" s="87"/>
      <c r="L49" s="86"/>
      <c r="M49" s="86"/>
      <c r="N49" s="87"/>
      <c r="O49" s="86"/>
      <c r="P49" s="86"/>
      <c r="Q49" s="87"/>
    </row>
    <row r="50" spans="1:17" ht="24" customHeight="1">
      <c r="A50" s="91">
        <v>7</v>
      </c>
      <c r="B50" s="92"/>
      <c r="C50" s="93" t="s">
        <v>415</v>
      </c>
      <c r="D50" s="93" t="s">
        <v>48</v>
      </c>
      <c r="E50" s="94" t="s">
        <v>411</v>
      </c>
      <c r="F50" s="95" t="s">
        <v>56</v>
      </c>
      <c r="G50" s="96">
        <v>1050000</v>
      </c>
      <c r="H50" s="97">
        <v>1050000</v>
      </c>
      <c r="I50" s="98"/>
      <c r="J50" s="98"/>
      <c r="K50" s="99"/>
      <c r="L50" s="98"/>
      <c r="M50" s="98"/>
      <c r="N50" s="99"/>
      <c r="O50" s="98"/>
      <c r="P50" s="98"/>
      <c r="Q50" s="99"/>
    </row>
    <row r="51" spans="1:17" ht="14.45" customHeight="1">
      <c r="A51" s="75">
        <v>8</v>
      </c>
      <c r="B51" s="76"/>
      <c r="C51" s="100" t="s">
        <v>405</v>
      </c>
      <c r="D51" s="100" t="s">
        <v>117</v>
      </c>
      <c r="E51" s="78" t="s">
        <v>401</v>
      </c>
      <c r="F51" s="79" t="s">
        <v>50</v>
      </c>
      <c r="G51" s="79" t="s">
        <v>50</v>
      </c>
      <c r="H51" s="80" t="s">
        <v>50</v>
      </c>
      <c r="I51" s="79" t="s">
        <v>51</v>
      </c>
      <c r="J51" s="79" t="s">
        <v>51</v>
      </c>
      <c r="K51" s="80" t="s">
        <v>51</v>
      </c>
      <c r="L51" s="79"/>
      <c r="M51" s="79"/>
      <c r="N51" s="80"/>
      <c r="O51" s="79"/>
      <c r="P51" s="79"/>
      <c r="Q51" s="80"/>
    </row>
    <row r="52" spans="1:17" ht="60" customHeight="1">
      <c r="A52" s="81">
        <v>8</v>
      </c>
      <c r="B52" s="82"/>
      <c r="C52" s="101" t="s">
        <v>405</v>
      </c>
      <c r="D52" s="101" t="s">
        <v>117</v>
      </c>
      <c r="E52" s="84" t="s">
        <v>401</v>
      </c>
      <c r="F52" s="85"/>
      <c r="G52" s="86" t="s">
        <v>417</v>
      </c>
      <c r="H52" s="87" t="s">
        <v>417</v>
      </c>
      <c r="I52" s="85"/>
      <c r="J52" s="86" t="s">
        <v>417</v>
      </c>
      <c r="K52" s="87" t="s">
        <v>417</v>
      </c>
      <c r="L52" s="86"/>
      <c r="M52" s="86"/>
      <c r="N52" s="87"/>
      <c r="O52" s="86"/>
      <c r="P52" s="86"/>
      <c r="Q52" s="87"/>
    </row>
    <row r="53" spans="1:17" ht="45" customHeight="1">
      <c r="A53" s="81">
        <v>8</v>
      </c>
      <c r="B53" s="82"/>
      <c r="C53" s="101" t="s">
        <v>405</v>
      </c>
      <c r="D53" s="101" t="s">
        <v>117</v>
      </c>
      <c r="E53" s="84" t="s">
        <v>401</v>
      </c>
      <c r="F53" s="85"/>
      <c r="G53" s="85"/>
      <c r="H53" s="88"/>
      <c r="I53" s="85"/>
      <c r="J53" s="85"/>
      <c r="K53" s="88"/>
      <c r="L53" s="86"/>
      <c r="M53" s="86"/>
      <c r="N53" s="87"/>
      <c r="O53" s="86"/>
      <c r="P53" s="86"/>
      <c r="Q53" s="87"/>
    </row>
    <row r="54" spans="1:17" ht="14.45" customHeight="1">
      <c r="A54" s="81">
        <v>8</v>
      </c>
      <c r="B54" s="82"/>
      <c r="C54" s="101" t="s">
        <v>405</v>
      </c>
      <c r="D54" s="101" t="s">
        <v>117</v>
      </c>
      <c r="E54" s="84" t="s">
        <v>401</v>
      </c>
      <c r="F54" s="89">
        <v>332</v>
      </c>
      <c r="G54" s="89">
        <v>1095</v>
      </c>
      <c r="H54" s="90">
        <v>352</v>
      </c>
      <c r="I54" s="89">
        <v>483</v>
      </c>
      <c r="J54" s="89">
        <v>697</v>
      </c>
      <c r="K54" s="90">
        <v>90</v>
      </c>
      <c r="L54" s="86"/>
      <c r="M54" s="86"/>
      <c r="N54" s="87"/>
      <c r="O54" s="86"/>
      <c r="P54" s="86"/>
      <c r="Q54" s="87"/>
    </row>
    <row r="55" spans="1:17" ht="45" customHeight="1">
      <c r="A55" s="81">
        <v>8</v>
      </c>
      <c r="B55" s="82"/>
      <c r="C55" s="101" t="s">
        <v>405</v>
      </c>
      <c r="D55" s="101" t="s">
        <v>117</v>
      </c>
      <c r="E55" s="84" t="s">
        <v>401</v>
      </c>
      <c r="F55" s="85"/>
      <c r="G55" s="85"/>
      <c r="H55" s="88"/>
      <c r="I55" s="85"/>
      <c r="J55" s="85"/>
      <c r="K55" s="88"/>
      <c r="L55" s="86"/>
      <c r="M55" s="86"/>
      <c r="N55" s="87"/>
      <c r="O55" s="86"/>
      <c r="P55" s="86"/>
      <c r="Q55" s="87"/>
    </row>
    <row r="56" spans="1:17" ht="14.45" customHeight="1">
      <c r="A56" s="81">
        <v>8</v>
      </c>
      <c r="B56" s="82"/>
      <c r="C56" s="101" t="s">
        <v>405</v>
      </c>
      <c r="D56" s="101" t="s">
        <v>117</v>
      </c>
      <c r="E56" s="84" t="s">
        <v>401</v>
      </c>
      <c r="F56" s="89">
        <v>354</v>
      </c>
      <c r="G56" s="85"/>
      <c r="H56" s="88"/>
      <c r="I56" s="89">
        <v>17</v>
      </c>
      <c r="J56" s="85"/>
      <c r="K56" s="88"/>
      <c r="L56" s="86"/>
      <c r="M56" s="86"/>
      <c r="N56" s="87"/>
      <c r="O56" s="86"/>
      <c r="P56" s="86"/>
      <c r="Q56" s="87"/>
    </row>
    <row r="57" spans="1:17" ht="24" customHeight="1">
      <c r="A57" s="91">
        <v>8</v>
      </c>
      <c r="B57" s="92"/>
      <c r="C57" s="102" t="s">
        <v>405</v>
      </c>
      <c r="D57" s="102" t="s">
        <v>117</v>
      </c>
      <c r="E57" s="94" t="s">
        <v>401</v>
      </c>
      <c r="F57" s="95" t="s">
        <v>56</v>
      </c>
      <c r="G57" s="96">
        <v>335000</v>
      </c>
      <c r="H57" s="97">
        <v>335000</v>
      </c>
      <c r="I57" s="95" t="s">
        <v>56</v>
      </c>
      <c r="J57" s="96">
        <v>335000</v>
      </c>
      <c r="K57" s="97">
        <v>335000</v>
      </c>
      <c r="L57" s="98"/>
      <c r="M57" s="98"/>
      <c r="N57" s="99"/>
      <c r="O57" s="98"/>
      <c r="P57" s="98"/>
      <c r="Q57" s="99"/>
    </row>
    <row r="58" spans="1:17" ht="14.45" customHeight="1">
      <c r="A58" s="75">
        <v>9</v>
      </c>
      <c r="B58" s="76"/>
      <c r="C58" s="100" t="s">
        <v>407</v>
      </c>
      <c r="D58" s="100" t="s">
        <v>117</v>
      </c>
      <c r="E58" s="78" t="s">
        <v>401</v>
      </c>
      <c r="F58" s="79" t="s">
        <v>50</v>
      </c>
      <c r="G58" s="79" t="s">
        <v>50</v>
      </c>
      <c r="H58" s="80" t="s">
        <v>50</v>
      </c>
      <c r="I58" s="79" t="s">
        <v>51</v>
      </c>
      <c r="J58" s="79" t="s">
        <v>51</v>
      </c>
      <c r="K58" s="80" t="s">
        <v>51</v>
      </c>
      <c r="L58" s="79"/>
      <c r="M58" s="79"/>
      <c r="N58" s="80"/>
      <c r="O58" s="79"/>
      <c r="P58" s="79"/>
      <c r="Q58" s="80"/>
    </row>
    <row r="59" spans="1:17" ht="60" customHeight="1">
      <c r="A59" s="81">
        <v>9</v>
      </c>
      <c r="B59" s="82"/>
      <c r="C59" s="101" t="s">
        <v>407</v>
      </c>
      <c r="D59" s="101" t="s">
        <v>117</v>
      </c>
      <c r="E59" s="84" t="s">
        <v>401</v>
      </c>
      <c r="F59" s="85"/>
      <c r="G59" s="86" t="s">
        <v>418</v>
      </c>
      <c r="H59" s="87" t="s">
        <v>418</v>
      </c>
      <c r="I59" s="85"/>
      <c r="J59" s="86" t="s">
        <v>418</v>
      </c>
      <c r="K59" s="87" t="s">
        <v>418</v>
      </c>
      <c r="L59" s="86"/>
      <c r="M59" s="86"/>
      <c r="N59" s="87"/>
      <c r="O59" s="86"/>
      <c r="P59" s="86"/>
      <c r="Q59" s="87"/>
    </row>
    <row r="60" spans="1:17" ht="45" customHeight="1">
      <c r="A60" s="81">
        <v>9</v>
      </c>
      <c r="B60" s="82"/>
      <c r="C60" s="101" t="s">
        <v>407</v>
      </c>
      <c r="D60" s="101" t="s">
        <v>117</v>
      </c>
      <c r="E60" s="84" t="s">
        <v>401</v>
      </c>
      <c r="F60" s="85"/>
      <c r="G60" s="85"/>
      <c r="H60" s="88"/>
      <c r="I60" s="85"/>
      <c r="J60" s="85"/>
      <c r="K60" s="88"/>
      <c r="L60" s="86"/>
      <c r="M60" s="86"/>
      <c r="N60" s="87"/>
      <c r="O60" s="86"/>
      <c r="P60" s="86"/>
      <c r="Q60" s="87"/>
    </row>
    <row r="61" spans="1:17" ht="14.45" customHeight="1">
      <c r="A61" s="81">
        <v>9</v>
      </c>
      <c r="B61" s="82"/>
      <c r="C61" s="101" t="s">
        <v>407</v>
      </c>
      <c r="D61" s="101" t="s">
        <v>117</v>
      </c>
      <c r="E61" s="84" t="s">
        <v>401</v>
      </c>
      <c r="F61" s="89">
        <v>322</v>
      </c>
      <c r="G61" s="89">
        <v>860</v>
      </c>
      <c r="H61" s="90">
        <v>447</v>
      </c>
      <c r="I61" s="89">
        <v>527</v>
      </c>
      <c r="J61" s="89">
        <v>465</v>
      </c>
      <c r="K61" s="90">
        <v>132</v>
      </c>
      <c r="L61" s="86"/>
      <c r="M61" s="86"/>
      <c r="N61" s="87"/>
      <c r="O61" s="86"/>
      <c r="P61" s="86"/>
      <c r="Q61" s="87"/>
    </row>
    <row r="62" spans="1:17" ht="45" customHeight="1">
      <c r="A62" s="81">
        <v>9</v>
      </c>
      <c r="B62" s="82"/>
      <c r="C62" s="101" t="s">
        <v>407</v>
      </c>
      <c r="D62" s="101" t="s">
        <v>117</v>
      </c>
      <c r="E62" s="84" t="s">
        <v>401</v>
      </c>
      <c r="F62" s="85"/>
      <c r="G62" s="85"/>
      <c r="H62" s="88"/>
      <c r="I62" s="85"/>
      <c r="J62" s="85"/>
      <c r="K62" s="88"/>
      <c r="L62" s="86"/>
      <c r="M62" s="86"/>
      <c r="N62" s="87"/>
      <c r="O62" s="86"/>
      <c r="P62" s="86"/>
      <c r="Q62" s="87"/>
    </row>
    <row r="63" spans="1:17" ht="14.45" customHeight="1">
      <c r="A63" s="81">
        <v>9</v>
      </c>
      <c r="B63" s="82"/>
      <c r="C63" s="101" t="s">
        <v>407</v>
      </c>
      <c r="D63" s="101" t="s">
        <v>117</v>
      </c>
      <c r="E63" s="84" t="s">
        <v>401</v>
      </c>
      <c r="F63" s="89">
        <v>354</v>
      </c>
      <c r="G63" s="85"/>
      <c r="H63" s="88"/>
      <c r="I63" s="89">
        <v>17</v>
      </c>
      <c r="J63" s="85"/>
      <c r="K63" s="88"/>
      <c r="L63" s="86"/>
      <c r="M63" s="86"/>
      <c r="N63" s="87"/>
      <c r="O63" s="86"/>
      <c r="P63" s="86"/>
      <c r="Q63" s="87"/>
    </row>
    <row r="64" spans="1:17" ht="24" customHeight="1">
      <c r="A64" s="91">
        <v>9</v>
      </c>
      <c r="B64" s="92"/>
      <c r="C64" s="102" t="s">
        <v>407</v>
      </c>
      <c r="D64" s="102" t="s">
        <v>117</v>
      </c>
      <c r="E64" s="94" t="s">
        <v>401</v>
      </c>
      <c r="F64" s="95" t="s">
        <v>56</v>
      </c>
      <c r="G64" s="96">
        <v>335000</v>
      </c>
      <c r="H64" s="97">
        <v>335000</v>
      </c>
      <c r="I64" s="95" t="s">
        <v>56</v>
      </c>
      <c r="J64" s="96">
        <v>335000</v>
      </c>
      <c r="K64" s="97">
        <v>335000</v>
      </c>
      <c r="L64" s="98"/>
      <c r="M64" s="98"/>
      <c r="N64" s="99"/>
      <c r="O64" s="98"/>
      <c r="P64" s="98"/>
      <c r="Q64" s="99"/>
    </row>
    <row r="65" spans="1:17" ht="14.45" customHeight="1">
      <c r="A65" s="75">
        <v>10</v>
      </c>
      <c r="B65" s="76"/>
      <c r="C65" s="100" t="s">
        <v>402</v>
      </c>
      <c r="D65" s="100" t="s">
        <v>117</v>
      </c>
      <c r="E65" s="78" t="s">
        <v>401</v>
      </c>
      <c r="F65" s="79" t="s">
        <v>50</v>
      </c>
      <c r="G65" s="79" t="s">
        <v>50</v>
      </c>
      <c r="H65" s="80" t="s">
        <v>50</v>
      </c>
      <c r="I65" s="79" t="s">
        <v>51</v>
      </c>
      <c r="J65" s="79" t="s">
        <v>51</v>
      </c>
      <c r="K65" s="80" t="s">
        <v>51</v>
      </c>
      <c r="L65" s="79"/>
      <c r="M65" s="79"/>
      <c r="N65" s="80"/>
      <c r="O65" s="79"/>
      <c r="P65" s="79"/>
      <c r="Q65" s="80"/>
    </row>
    <row r="66" spans="1:17" ht="60" customHeight="1">
      <c r="A66" s="81">
        <v>10</v>
      </c>
      <c r="B66" s="82"/>
      <c r="C66" s="101" t="s">
        <v>402</v>
      </c>
      <c r="D66" s="101" t="s">
        <v>117</v>
      </c>
      <c r="E66" s="84" t="s">
        <v>401</v>
      </c>
      <c r="F66" s="85"/>
      <c r="G66" s="86" t="s">
        <v>419</v>
      </c>
      <c r="H66" s="87" t="s">
        <v>419</v>
      </c>
      <c r="I66" s="85"/>
      <c r="J66" s="86" t="s">
        <v>419</v>
      </c>
      <c r="K66" s="87" t="s">
        <v>419</v>
      </c>
      <c r="L66" s="86"/>
      <c r="M66" s="86"/>
      <c r="N66" s="87"/>
      <c r="O66" s="86"/>
      <c r="P66" s="86"/>
      <c r="Q66" s="87"/>
    </row>
    <row r="67" spans="1:17" ht="45" customHeight="1">
      <c r="A67" s="81">
        <v>10</v>
      </c>
      <c r="B67" s="82"/>
      <c r="C67" s="101" t="s">
        <v>402</v>
      </c>
      <c r="D67" s="101" t="s">
        <v>117</v>
      </c>
      <c r="E67" s="84" t="s">
        <v>401</v>
      </c>
      <c r="F67" s="85"/>
      <c r="G67" s="85"/>
      <c r="H67" s="88"/>
      <c r="I67" s="85"/>
      <c r="J67" s="85"/>
      <c r="K67" s="88"/>
      <c r="L67" s="86"/>
      <c r="M67" s="86"/>
      <c r="N67" s="87"/>
      <c r="O67" s="86"/>
      <c r="P67" s="86"/>
      <c r="Q67" s="87"/>
    </row>
    <row r="68" spans="1:17" ht="14.45" customHeight="1">
      <c r="A68" s="81">
        <v>10</v>
      </c>
      <c r="B68" s="82"/>
      <c r="C68" s="101" t="s">
        <v>402</v>
      </c>
      <c r="D68" s="101" t="s">
        <v>117</v>
      </c>
      <c r="E68" s="84" t="s">
        <v>401</v>
      </c>
      <c r="F68" s="89">
        <v>362</v>
      </c>
      <c r="G68" s="89">
        <v>1095</v>
      </c>
      <c r="H68" s="90">
        <v>383</v>
      </c>
      <c r="I68" s="89">
        <v>527</v>
      </c>
      <c r="J68" s="89">
        <v>620</v>
      </c>
      <c r="K68" s="90">
        <v>99</v>
      </c>
      <c r="L68" s="86"/>
      <c r="M68" s="86"/>
      <c r="N68" s="87"/>
      <c r="O68" s="86"/>
      <c r="P68" s="86"/>
      <c r="Q68" s="87"/>
    </row>
    <row r="69" spans="1:17" ht="45" customHeight="1">
      <c r="A69" s="81">
        <v>10</v>
      </c>
      <c r="B69" s="82"/>
      <c r="C69" s="101" t="s">
        <v>402</v>
      </c>
      <c r="D69" s="101" t="s">
        <v>117</v>
      </c>
      <c r="E69" s="84" t="s">
        <v>401</v>
      </c>
      <c r="F69" s="85"/>
      <c r="G69" s="85"/>
      <c r="H69" s="88"/>
      <c r="I69" s="85"/>
      <c r="J69" s="85"/>
      <c r="K69" s="88"/>
      <c r="L69" s="86"/>
      <c r="M69" s="86"/>
      <c r="N69" s="87"/>
      <c r="O69" s="86"/>
      <c r="P69" s="86"/>
      <c r="Q69" s="87"/>
    </row>
    <row r="70" spans="1:17" ht="14.45" customHeight="1">
      <c r="A70" s="81">
        <v>10</v>
      </c>
      <c r="B70" s="82"/>
      <c r="C70" s="101" t="s">
        <v>402</v>
      </c>
      <c r="D70" s="101" t="s">
        <v>117</v>
      </c>
      <c r="E70" s="84" t="s">
        <v>401</v>
      </c>
      <c r="F70" s="89">
        <v>304</v>
      </c>
      <c r="G70" s="85"/>
      <c r="H70" s="88"/>
      <c r="I70" s="89">
        <v>17</v>
      </c>
      <c r="J70" s="85"/>
      <c r="K70" s="88"/>
      <c r="L70" s="86"/>
      <c r="M70" s="86"/>
      <c r="N70" s="87"/>
      <c r="O70" s="86"/>
      <c r="P70" s="86"/>
      <c r="Q70" s="87"/>
    </row>
    <row r="71" spans="1:17" ht="24" customHeight="1">
      <c r="A71" s="91">
        <v>10</v>
      </c>
      <c r="B71" s="92"/>
      <c r="C71" s="102" t="s">
        <v>402</v>
      </c>
      <c r="D71" s="102" t="s">
        <v>117</v>
      </c>
      <c r="E71" s="94" t="s">
        <v>401</v>
      </c>
      <c r="F71" s="95" t="s">
        <v>56</v>
      </c>
      <c r="G71" s="96">
        <v>335000</v>
      </c>
      <c r="H71" s="97">
        <v>335000</v>
      </c>
      <c r="I71" s="95" t="s">
        <v>56</v>
      </c>
      <c r="J71" s="96">
        <v>335000</v>
      </c>
      <c r="K71" s="97">
        <v>335000</v>
      </c>
      <c r="L71" s="98"/>
      <c r="M71" s="98"/>
      <c r="N71" s="99"/>
      <c r="O71" s="98"/>
      <c r="P71" s="98"/>
      <c r="Q71" s="99"/>
    </row>
    <row r="72" spans="1:17" ht="14.45" customHeight="1">
      <c r="A72" s="75">
        <v>11</v>
      </c>
      <c r="B72" s="76"/>
      <c r="C72" s="100" t="s">
        <v>412</v>
      </c>
      <c r="D72" s="100" t="s">
        <v>117</v>
      </c>
      <c r="E72" s="78" t="s">
        <v>411</v>
      </c>
      <c r="F72" s="79" t="s">
        <v>50</v>
      </c>
      <c r="G72" s="79" t="s">
        <v>50</v>
      </c>
      <c r="H72" s="80" t="s">
        <v>50</v>
      </c>
      <c r="I72" s="79" t="s">
        <v>51</v>
      </c>
      <c r="J72" s="79" t="s">
        <v>51</v>
      </c>
      <c r="K72" s="80" t="s">
        <v>51</v>
      </c>
      <c r="L72" s="79"/>
      <c r="M72" s="79"/>
      <c r="N72" s="80"/>
      <c r="O72" s="79"/>
      <c r="P72" s="79"/>
      <c r="Q72" s="80"/>
    </row>
    <row r="73" spans="1:17" ht="60" customHeight="1">
      <c r="A73" s="81">
        <v>11</v>
      </c>
      <c r="B73" s="82"/>
      <c r="C73" s="101" t="s">
        <v>412</v>
      </c>
      <c r="D73" s="101" t="s">
        <v>117</v>
      </c>
      <c r="E73" s="84" t="s">
        <v>411</v>
      </c>
      <c r="F73" s="85"/>
      <c r="G73" s="86" t="s">
        <v>420</v>
      </c>
      <c r="H73" s="87" t="s">
        <v>420</v>
      </c>
      <c r="I73" s="85"/>
      <c r="J73" s="86" t="s">
        <v>420</v>
      </c>
      <c r="K73" s="87" t="s">
        <v>420</v>
      </c>
      <c r="L73" s="86"/>
      <c r="M73" s="86"/>
      <c r="N73" s="87"/>
      <c r="O73" s="86"/>
      <c r="P73" s="86"/>
      <c r="Q73" s="87"/>
    </row>
    <row r="74" spans="1:17" ht="45" customHeight="1">
      <c r="A74" s="81">
        <v>11</v>
      </c>
      <c r="B74" s="82"/>
      <c r="C74" s="101" t="s">
        <v>412</v>
      </c>
      <c r="D74" s="101" t="s">
        <v>117</v>
      </c>
      <c r="E74" s="84" t="s">
        <v>411</v>
      </c>
      <c r="F74" s="85"/>
      <c r="G74" s="85"/>
      <c r="H74" s="88"/>
      <c r="I74" s="85"/>
      <c r="J74" s="85"/>
      <c r="K74" s="88"/>
      <c r="L74" s="86"/>
      <c r="M74" s="86"/>
      <c r="N74" s="87"/>
      <c r="O74" s="86"/>
      <c r="P74" s="86"/>
      <c r="Q74" s="87"/>
    </row>
    <row r="75" spans="1:17" ht="14.45" customHeight="1">
      <c r="A75" s="81">
        <v>11</v>
      </c>
      <c r="B75" s="82"/>
      <c r="C75" s="101" t="s">
        <v>412</v>
      </c>
      <c r="D75" s="101" t="s">
        <v>117</v>
      </c>
      <c r="E75" s="84" t="s">
        <v>411</v>
      </c>
      <c r="F75" s="89">
        <v>362</v>
      </c>
      <c r="G75" s="89">
        <v>1407</v>
      </c>
      <c r="H75" s="90">
        <v>320</v>
      </c>
      <c r="I75" s="89">
        <v>510</v>
      </c>
      <c r="J75" s="89">
        <v>713</v>
      </c>
      <c r="K75" s="90">
        <v>82</v>
      </c>
      <c r="L75" s="86"/>
      <c r="M75" s="86"/>
      <c r="N75" s="87"/>
      <c r="O75" s="86"/>
      <c r="P75" s="86"/>
      <c r="Q75" s="87"/>
    </row>
    <row r="76" spans="1:17" ht="45" customHeight="1">
      <c r="A76" s="81">
        <v>11</v>
      </c>
      <c r="B76" s="82"/>
      <c r="C76" s="101" t="s">
        <v>412</v>
      </c>
      <c r="D76" s="101" t="s">
        <v>117</v>
      </c>
      <c r="E76" s="84" t="s">
        <v>411</v>
      </c>
      <c r="F76" s="85"/>
      <c r="G76" s="85"/>
      <c r="H76" s="88"/>
      <c r="I76" s="85"/>
      <c r="J76" s="85"/>
      <c r="K76" s="88"/>
      <c r="L76" s="86"/>
      <c r="M76" s="86"/>
      <c r="N76" s="87"/>
      <c r="O76" s="86"/>
      <c r="P76" s="86"/>
      <c r="Q76" s="87"/>
    </row>
    <row r="77" spans="1:17" ht="14.45" customHeight="1">
      <c r="A77" s="81">
        <v>11</v>
      </c>
      <c r="B77" s="82"/>
      <c r="C77" s="101" t="s">
        <v>412</v>
      </c>
      <c r="D77" s="101" t="s">
        <v>117</v>
      </c>
      <c r="E77" s="84" t="s">
        <v>411</v>
      </c>
      <c r="F77" s="89">
        <v>253</v>
      </c>
      <c r="G77" s="85"/>
      <c r="H77" s="88"/>
      <c r="I77" s="89">
        <v>17</v>
      </c>
      <c r="J77" s="85"/>
      <c r="K77" s="88"/>
      <c r="L77" s="86"/>
      <c r="M77" s="86"/>
      <c r="N77" s="87"/>
      <c r="O77" s="86"/>
      <c r="P77" s="86"/>
      <c r="Q77" s="87"/>
    </row>
    <row r="78" spans="1:17" ht="24" customHeight="1">
      <c r="A78" s="91">
        <v>11</v>
      </c>
      <c r="B78" s="92"/>
      <c r="C78" s="102" t="s">
        <v>412</v>
      </c>
      <c r="D78" s="102" t="s">
        <v>117</v>
      </c>
      <c r="E78" s="94" t="s">
        <v>411</v>
      </c>
      <c r="F78" s="95" t="s">
        <v>56</v>
      </c>
      <c r="G78" s="96">
        <v>335000</v>
      </c>
      <c r="H78" s="97">
        <v>335000</v>
      </c>
      <c r="I78" s="95" t="s">
        <v>56</v>
      </c>
      <c r="J78" s="96">
        <v>335000</v>
      </c>
      <c r="K78" s="97">
        <v>335000</v>
      </c>
      <c r="L78" s="98"/>
      <c r="M78" s="98"/>
      <c r="N78" s="99"/>
      <c r="O78" s="98"/>
      <c r="P78" s="98"/>
      <c r="Q78" s="99"/>
    </row>
    <row r="79" spans="1:17" ht="14.45" customHeight="1">
      <c r="A79" s="75">
        <v>12</v>
      </c>
      <c r="B79" s="76"/>
      <c r="C79" s="100" t="s">
        <v>409</v>
      </c>
      <c r="D79" s="100" t="s">
        <v>117</v>
      </c>
      <c r="E79" s="78" t="s">
        <v>401</v>
      </c>
      <c r="F79" s="79" t="s">
        <v>50</v>
      </c>
      <c r="G79" s="79" t="s">
        <v>50</v>
      </c>
      <c r="H79" s="80" t="s">
        <v>50</v>
      </c>
      <c r="I79" s="79" t="s">
        <v>51</v>
      </c>
      <c r="J79" s="79" t="s">
        <v>51</v>
      </c>
      <c r="K79" s="80" t="s">
        <v>51</v>
      </c>
      <c r="L79" s="79"/>
      <c r="M79" s="79"/>
      <c r="N79" s="80"/>
      <c r="O79" s="79"/>
      <c r="P79" s="79"/>
      <c r="Q79" s="80"/>
    </row>
    <row r="80" spans="1:17" ht="60" customHeight="1">
      <c r="A80" s="81">
        <v>12</v>
      </c>
      <c r="B80" s="82"/>
      <c r="C80" s="101" t="s">
        <v>409</v>
      </c>
      <c r="D80" s="101" t="s">
        <v>117</v>
      </c>
      <c r="E80" s="84" t="s">
        <v>401</v>
      </c>
      <c r="F80" s="85"/>
      <c r="G80" s="86" t="s">
        <v>421</v>
      </c>
      <c r="H80" s="87" t="s">
        <v>421</v>
      </c>
      <c r="I80" s="85"/>
      <c r="J80" s="86" t="s">
        <v>421</v>
      </c>
      <c r="K80" s="87" t="s">
        <v>421</v>
      </c>
      <c r="L80" s="86"/>
      <c r="M80" s="86"/>
      <c r="N80" s="87"/>
      <c r="O80" s="86"/>
      <c r="P80" s="86"/>
      <c r="Q80" s="87"/>
    </row>
    <row r="81" spans="1:17" ht="45" customHeight="1">
      <c r="A81" s="81">
        <v>12</v>
      </c>
      <c r="B81" s="82"/>
      <c r="C81" s="101" t="s">
        <v>409</v>
      </c>
      <c r="D81" s="101" t="s">
        <v>117</v>
      </c>
      <c r="E81" s="84" t="s">
        <v>401</v>
      </c>
      <c r="F81" s="85"/>
      <c r="G81" s="85"/>
      <c r="H81" s="88"/>
      <c r="I81" s="85"/>
      <c r="J81" s="85"/>
      <c r="K81" s="88"/>
      <c r="L81" s="86"/>
      <c r="M81" s="86"/>
      <c r="N81" s="87"/>
      <c r="O81" s="86"/>
      <c r="P81" s="86"/>
      <c r="Q81" s="87"/>
    </row>
    <row r="82" spans="1:17" ht="14.45" customHeight="1">
      <c r="A82" s="81">
        <v>12</v>
      </c>
      <c r="B82" s="82"/>
      <c r="C82" s="101" t="s">
        <v>409</v>
      </c>
      <c r="D82" s="101" t="s">
        <v>117</v>
      </c>
      <c r="E82" s="84" t="s">
        <v>401</v>
      </c>
      <c r="F82" s="89">
        <v>422</v>
      </c>
      <c r="G82" s="89">
        <v>938</v>
      </c>
      <c r="H82" s="90">
        <v>383</v>
      </c>
      <c r="I82" s="89">
        <v>703</v>
      </c>
      <c r="J82" s="89">
        <v>465</v>
      </c>
      <c r="K82" s="90">
        <v>99</v>
      </c>
      <c r="L82" s="86"/>
      <c r="M82" s="86"/>
      <c r="N82" s="87"/>
      <c r="O82" s="86"/>
      <c r="P82" s="86"/>
      <c r="Q82" s="87"/>
    </row>
    <row r="83" spans="1:17" ht="45" customHeight="1">
      <c r="A83" s="81">
        <v>12</v>
      </c>
      <c r="B83" s="82"/>
      <c r="C83" s="101" t="s">
        <v>409</v>
      </c>
      <c r="D83" s="101" t="s">
        <v>117</v>
      </c>
      <c r="E83" s="84" t="s">
        <v>401</v>
      </c>
      <c r="F83" s="85"/>
      <c r="G83" s="85"/>
      <c r="H83" s="88"/>
      <c r="I83" s="85"/>
      <c r="J83" s="85"/>
      <c r="K83" s="88"/>
      <c r="L83" s="86"/>
      <c r="M83" s="86"/>
      <c r="N83" s="87"/>
      <c r="O83" s="86"/>
      <c r="P83" s="86"/>
      <c r="Q83" s="87"/>
    </row>
    <row r="84" spans="1:17" ht="14.45" customHeight="1">
      <c r="A84" s="81">
        <v>12</v>
      </c>
      <c r="B84" s="82"/>
      <c r="C84" s="101" t="s">
        <v>409</v>
      </c>
      <c r="D84" s="101" t="s">
        <v>117</v>
      </c>
      <c r="E84" s="84" t="s">
        <v>401</v>
      </c>
      <c r="F84" s="89">
        <v>304</v>
      </c>
      <c r="G84" s="85"/>
      <c r="H84" s="88"/>
      <c r="I84" s="89">
        <v>17</v>
      </c>
      <c r="J84" s="85"/>
      <c r="K84" s="88"/>
      <c r="L84" s="86"/>
      <c r="M84" s="86"/>
      <c r="N84" s="87"/>
      <c r="O84" s="86"/>
      <c r="P84" s="86"/>
      <c r="Q84" s="87"/>
    </row>
    <row r="85" spans="1:17" ht="24" customHeight="1">
      <c r="A85" s="91">
        <v>12</v>
      </c>
      <c r="B85" s="92"/>
      <c r="C85" s="102" t="s">
        <v>409</v>
      </c>
      <c r="D85" s="102" t="s">
        <v>117</v>
      </c>
      <c r="E85" s="94" t="s">
        <v>401</v>
      </c>
      <c r="F85" s="95" t="s">
        <v>56</v>
      </c>
      <c r="G85" s="96">
        <v>335000</v>
      </c>
      <c r="H85" s="97">
        <v>335000</v>
      </c>
      <c r="I85" s="95" t="s">
        <v>56</v>
      </c>
      <c r="J85" s="96">
        <v>335000</v>
      </c>
      <c r="K85" s="97">
        <v>335000</v>
      </c>
      <c r="L85" s="98"/>
      <c r="M85" s="98"/>
      <c r="N85" s="99"/>
      <c r="O85" s="98"/>
      <c r="P85" s="98"/>
      <c r="Q85" s="99"/>
    </row>
    <row r="86" spans="1:17" ht="14.45" customHeight="1">
      <c r="A86" s="75">
        <v>13</v>
      </c>
      <c r="B86" s="76"/>
      <c r="C86" s="100" t="s">
        <v>414</v>
      </c>
      <c r="D86" s="100" t="s">
        <v>117</v>
      </c>
      <c r="E86" s="78" t="s">
        <v>411</v>
      </c>
      <c r="F86" s="79" t="s">
        <v>50</v>
      </c>
      <c r="G86" s="79" t="s">
        <v>50</v>
      </c>
      <c r="H86" s="80" t="s">
        <v>50</v>
      </c>
      <c r="I86" s="79" t="s">
        <v>51</v>
      </c>
      <c r="J86" s="79" t="s">
        <v>51</v>
      </c>
      <c r="K86" s="80" t="s">
        <v>51</v>
      </c>
      <c r="L86" s="79"/>
      <c r="M86" s="79"/>
      <c r="N86" s="80"/>
      <c r="O86" s="79"/>
      <c r="P86" s="79"/>
      <c r="Q86" s="80"/>
    </row>
    <row r="87" spans="1:17" ht="60" customHeight="1">
      <c r="A87" s="81">
        <v>13</v>
      </c>
      <c r="B87" s="82"/>
      <c r="C87" s="101" t="s">
        <v>414</v>
      </c>
      <c r="D87" s="101" t="s">
        <v>117</v>
      </c>
      <c r="E87" s="84" t="s">
        <v>411</v>
      </c>
      <c r="F87" s="85"/>
      <c r="G87" s="86" t="s">
        <v>422</v>
      </c>
      <c r="H87" s="87" t="s">
        <v>422</v>
      </c>
      <c r="I87" s="85"/>
      <c r="J87" s="86" t="s">
        <v>422</v>
      </c>
      <c r="K87" s="87" t="s">
        <v>422</v>
      </c>
      <c r="L87" s="86"/>
      <c r="M87" s="86"/>
      <c r="N87" s="87"/>
      <c r="O87" s="86"/>
      <c r="P87" s="86"/>
      <c r="Q87" s="87"/>
    </row>
    <row r="88" spans="1:17" ht="45" customHeight="1">
      <c r="A88" s="81">
        <v>13</v>
      </c>
      <c r="B88" s="82"/>
      <c r="C88" s="101" t="s">
        <v>414</v>
      </c>
      <c r="D88" s="101" t="s">
        <v>117</v>
      </c>
      <c r="E88" s="84" t="s">
        <v>411</v>
      </c>
      <c r="F88" s="85"/>
      <c r="G88" s="85"/>
      <c r="H88" s="88"/>
      <c r="I88" s="85"/>
      <c r="J88" s="85"/>
      <c r="K88" s="88"/>
      <c r="L88" s="86"/>
      <c r="M88" s="86"/>
      <c r="N88" s="87"/>
      <c r="O88" s="86"/>
      <c r="P88" s="86"/>
      <c r="Q88" s="87"/>
    </row>
    <row r="89" spans="1:17" ht="14.45" customHeight="1">
      <c r="A89" s="81">
        <v>13</v>
      </c>
      <c r="B89" s="82"/>
      <c r="C89" s="101" t="s">
        <v>414</v>
      </c>
      <c r="D89" s="101" t="s">
        <v>117</v>
      </c>
      <c r="E89" s="84" t="s">
        <v>411</v>
      </c>
      <c r="F89" s="89">
        <v>453</v>
      </c>
      <c r="G89" s="89">
        <v>1173</v>
      </c>
      <c r="H89" s="90">
        <v>320</v>
      </c>
      <c r="I89" s="89">
        <v>659</v>
      </c>
      <c r="J89" s="89">
        <v>581</v>
      </c>
      <c r="K89" s="90">
        <v>82</v>
      </c>
      <c r="L89" s="86"/>
      <c r="M89" s="86"/>
      <c r="N89" s="87"/>
      <c r="O89" s="86"/>
      <c r="P89" s="86"/>
      <c r="Q89" s="87"/>
    </row>
    <row r="90" spans="1:17" ht="45" customHeight="1">
      <c r="A90" s="81">
        <v>13</v>
      </c>
      <c r="B90" s="82"/>
      <c r="C90" s="101" t="s">
        <v>414</v>
      </c>
      <c r="D90" s="101" t="s">
        <v>117</v>
      </c>
      <c r="E90" s="84" t="s">
        <v>411</v>
      </c>
      <c r="F90" s="85"/>
      <c r="G90" s="85"/>
      <c r="H90" s="88"/>
      <c r="I90" s="85"/>
      <c r="J90" s="85"/>
      <c r="K90" s="88"/>
      <c r="L90" s="86"/>
      <c r="M90" s="86"/>
      <c r="N90" s="87"/>
      <c r="O90" s="86"/>
      <c r="P90" s="86"/>
      <c r="Q90" s="87"/>
    </row>
    <row r="91" spans="1:17" ht="14.45" customHeight="1">
      <c r="A91" s="81">
        <v>13</v>
      </c>
      <c r="B91" s="82"/>
      <c r="C91" s="101" t="s">
        <v>414</v>
      </c>
      <c r="D91" s="101" t="s">
        <v>117</v>
      </c>
      <c r="E91" s="84" t="s">
        <v>411</v>
      </c>
      <c r="F91" s="89">
        <v>253</v>
      </c>
      <c r="G91" s="85"/>
      <c r="H91" s="88"/>
      <c r="I91" s="89">
        <v>17</v>
      </c>
      <c r="J91" s="85"/>
      <c r="K91" s="88"/>
      <c r="L91" s="86"/>
      <c r="M91" s="86"/>
      <c r="N91" s="87"/>
      <c r="O91" s="86"/>
      <c r="P91" s="86"/>
      <c r="Q91" s="87"/>
    </row>
    <row r="92" spans="1:17" ht="24" customHeight="1">
      <c r="A92" s="91">
        <v>13</v>
      </c>
      <c r="B92" s="92"/>
      <c r="C92" s="102" t="s">
        <v>414</v>
      </c>
      <c r="D92" s="102" t="s">
        <v>117</v>
      </c>
      <c r="E92" s="94" t="s">
        <v>411</v>
      </c>
      <c r="F92" s="95" t="s">
        <v>56</v>
      </c>
      <c r="G92" s="96">
        <v>335000</v>
      </c>
      <c r="H92" s="97">
        <v>335000</v>
      </c>
      <c r="I92" s="95" t="s">
        <v>56</v>
      </c>
      <c r="J92" s="96">
        <v>335000</v>
      </c>
      <c r="K92" s="97">
        <v>335000</v>
      </c>
      <c r="L92" s="98"/>
      <c r="M92" s="98"/>
      <c r="N92" s="99"/>
      <c r="O92" s="98"/>
      <c r="P92" s="98"/>
      <c r="Q92" s="99"/>
    </row>
    <row r="93" spans="1:17" ht="14.45" customHeight="1">
      <c r="A93" s="75">
        <v>14</v>
      </c>
      <c r="B93" s="76"/>
      <c r="C93" s="100" t="s">
        <v>416</v>
      </c>
      <c r="D93" s="100" t="s">
        <v>117</v>
      </c>
      <c r="E93" s="78" t="s">
        <v>411</v>
      </c>
      <c r="F93" s="79" t="s">
        <v>50</v>
      </c>
      <c r="G93" s="79" t="s">
        <v>50</v>
      </c>
      <c r="H93" s="80" t="s">
        <v>50</v>
      </c>
      <c r="I93" s="79" t="s">
        <v>51</v>
      </c>
      <c r="J93" s="79" t="s">
        <v>51</v>
      </c>
      <c r="K93" s="80" t="s">
        <v>51</v>
      </c>
      <c r="L93" s="79"/>
      <c r="M93" s="79"/>
      <c r="N93" s="80"/>
      <c r="O93" s="79"/>
      <c r="P93" s="79"/>
      <c r="Q93" s="80"/>
    </row>
    <row r="94" spans="1:17" ht="60" customHeight="1">
      <c r="A94" s="81">
        <v>14</v>
      </c>
      <c r="B94" s="82"/>
      <c r="C94" s="101" t="s">
        <v>416</v>
      </c>
      <c r="D94" s="101" t="s">
        <v>117</v>
      </c>
      <c r="E94" s="84" t="s">
        <v>411</v>
      </c>
      <c r="F94" s="85"/>
      <c r="G94" s="86" t="s">
        <v>423</v>
      </c>
      <c r="H94" s="87" t="s">
        <v>423</v>
      </c>
      <c r="I94" s="85"/>
      <c r="J94" s="86" t="s">
        <v>423</v>
      </c>
      <c r="K94" s="87" t="s">
        <v>423</v>
      </c>
      <c r="L94" s="86"/>
      <c r="M94" s="86"/>
      <c r="N94" s="87"/>
      <c r="O94" s="86"/>
      <c r="P94" s="86"/>
      <c r="Q94" s="87"/>
    </row>
    <row r="95" spans="1:17" ht="45" customHeight="1">
      <c r="A95" s="81">
        <v>14</v>
      </c>
      <c r="B95" s="82"/>
      <c r="C95" s="101" t="s">
        <v>416</v>
      </c>
      <c r="D95" s="101" t="s">
        <v>117</v>
      </c>
      <c r="E95" s="84" t="s">
        <v>411</v>
      </c>
      <c r="F95" s="85"/>
      <c r="G95" s="85"/>
      <c r="H95" s="88"/>
      <c r="I95" s="85"/>
      <c r="J95" s="85"/>
      <c r="K95" s="88"/>
      <c r="L95" s="86"/>
      <c r="M95" s="86"/>
      <c r="N95" s="87"/>
      <c r="O95" s="86"/>
      <c r="P95" s="86"/>
      <c r="Q95" s="87"/>
    </row>
    <row r="96" spans="1:17" ht="14.45" customHeight="1">
      <c r="A96" s="81">
        <v>14</v>
      </c>
      <c r="B96" s="82"/>
      <c r="C96" s="101" t="s">
        <v>416</v>
      </c>
      <c r="D96" s="101" t="s">
        <v>117</v>
      </c>
      <c r="E96" s="84" t="s">
        <v>411</v>
      </c>
      <c r="F96" s="89">
        <v>543</v>
      </c>
      <c r="G96" s="89">
        <v>938</v>
      </c>
      <c r="H96" s="90">
        <v>320</v>
      </c>
      <c r="I96" s="89">
        <v>809</v>
      </c>
      <c r="J96" s="89">
        <v>449</v>
      </c>
      <c r="K96" s="90">
        <v>82</v>
      </c>
      <c r="L96" s="86"/>
      <c r="M96" s="86"/>
      <c r="N96" s="87"/>
      <c r="O96" s="86"/>
      <c r="P96" s="86"/>
      <c r="Q96" s="87"/>
    </row>
    <row r="97" spans="1:17" ht="45" customHeight="1">
      <c r="A97" s="81">
        <v>14</v>
      </c>
      <c r="B97" s="82"/>
      <c r="C97" s="101" t="s">
        <v>416</v>
      </c>
      <c r="D97" s="101" t="s">
        <v>117</v>
      </c>
      <c r="E97" s="84" t="s">
        <v>411</v>
      </c>
      <c r="F97" s="85"/>
      <c r="G97" s="85"/>
      <c r="H97" s="88"/>
      <c r="I97" s="85"/>
      <c r="J97" s="85"/>
      <c r="K97" s="88"/>
      <c r="L97" s="86"/>
      <c r="M97" s="86"/>
      <c r="N97" s="87"/>
      <c r="O97" s="86"/>
      <c r="P97" s="86"/>
      <c r="Q97" s="87"/>
    </row>
    <row r="98" spans="1:17" ht="14.45" customHeight="1">
      <c r="A98" s="81">
        <v>14</v>
      </c>
      <c r="B98" s="82"/>
      <c r="C98" s="101" t="s">
        <v>416</v>
      </c>
      <c r="D98" s="101" t="s">
        <v>117</v>
      </c>
      <c r="E98" s="84" t="s">
        <v>411</v>
      </c>
      <c r="F98" s="89">
        <v>253</v>
      </c>
      <c r="G98" s="85"/>
      <c r="H98" s="88"/>
      <c r="I98" s="89">
        <v>17</v>
      </c>
      <c r="J98" s="85"/>
      <c r="K98" s="88"/>
      <c r="L98" s="86"/>
      <c r="M98" s="86"/>
      <c r="N98" s="87"/>
      <c r="O98" s="86"/>
      <c r="P98" s="86"/>
      <c r="Q98" s="87"/>
    </row>
    <row r="99" spans="1:17" ht="24" customHeight="1">
      <c r="A99" s="91">
        <v>14</v>
      </c>
      <c r="B99" s="92"/>
      <c r="C99" s="102" t="s">
        <v>416</v>
      </c>
      <c r="D99" s="102" t="s">
        <v>117</v>
      </c>
      <c r="E99" s="94" t="s">
        <v>411</v>
      </c>
      <c r="F99" s="95" t="s">
        <v>56</v>
      </c>
      <c r="G99" s="96">
        <v>335000</v>
      </c>
      <c r="H99" s="97">
        <v>335000</v>
      </c>
      <c r="I99" s="95" t="s">
        <v>56</v>
      </c>
      <c r="J99" s="96">
        <v>335000</v>
      </c>
      <c r="K99" s="97">
        <v>335000</v>
      </c>
      <c r="L99" s="98"/>
      <c r="M99" s="98"/>
      <c r="N99" s="99"/>
      <c r="O99" s="98"/>
      <c r="P99" s="98"/>
      <c r="Q99" s="99"/>
    </row>
    <row r="100" spans="1:17" ht="14.45" customHeight="1">
      <c r="A100" s="75">
        <v>15</v>
      </c>
      <c r="B100" s="76"/>
      <c r="C100" s="100" t="s">
        <v>403</v>
      </c>
      <c r="D100" s="100" t="s">
        <v>117</v>
      </c>
      <c r="E100" s="78" t="s">
        <v>401</v>
      </c>
      <c r="F100" s="79" t="s">
        <v>50</v>
      </c>
      <c r="G100" s="79" t="s">
        <v>50</v>
      </c>
      <c r="H100" s="80" t="s">
        <v>50</v>
      </c>
      <c r="I100" s="79"/>
      <c r="J100" s="79"/>
      <c r="K100" s="80"/>
      <c r="L100" s="79"/>
      <c r="M100" s="79"/>
      <c r="N100" s="80"/>
      <c r="O100" s="79"/>
      <c r="P100" s="79"/>
      <c r="Q100" s="80"/>
    </row>
    <row r="101" spans="1:17" ht="60" customHeight="1">
      <c r="A101" s="81">
        <v>15</v>
      </c>
      <c r="B101" s="82"/>
      <c r="C101" s="101" t="s">
        <v>403</v>
      </c>
      <c r="D101" s="101" t="s">
        <v>117</v>
      </c>
      <c r="E101" s="84" t="s">
        <v>401</v>
      </c>
      <c r="F101" s="85"/>
      <c r="G101" s="86"/>
      <c r="H101" s="87"/>
      <c r="I101" s="86"/>
      <c r="J101" s="86"/>
      <c r="K101" s="87"/>
      <c r="L101" s="86"/>
      <c r="M101" s="86"/>
      <c r="N101" s="87"/>
      <c r="O101" s="86"/>
      <c r="P101" s="86"/>
      <c r="Q101" s="87"/>
    </row>
    <row r="102" spans="1:17" ht="45" customHeight="1">
      <c r="A102" s="81">
        <v>15</v>
      </c>
      <c r="B102" s="82"/>
      <c r="C102" s="101" t="s">
        <v>403</v>
      </c>
      <c r="D102" s="101" t="s">
        <v>117</v>
      </c>
      <c r="E102" s="84" t="s">
        <v>401</v>
      </c>
      <c r="F102" s="85"/>
      <c r="G102" s="85"/>
      <c r="H102" s="88"/>
      <c r="I102" s="86"/>
      <c r="J102" s="86"/>
      <c r="K102" s="87"/>
      <c r="L102" s="86"/>
      <c r="M102" s="86"/>
      <c r="N102" s="87"/>
      <c r="O102" s="86"/>
      <c r="P102" s="86"/>
      <c r="Q102" s="87"/>
    </row>
    <row r="103" spans="1:17" ht="14.45" customHeight="1">
      <c r="A103" s="81">
        <v>15</v>
      </c>
      <c r="B103" s="82"/>
      <c r="C103" s="101" t="s">
        <v>403</v>
      </c>
      <c r="D103" s="101" t="s">
        <v>117</v>
      </c>
      <c r="E103" s="84" t="s">
        <v>401</v>
      </c>
      <c r="F103" s="89">
        <v>754</v>
      </c>
      <c r="G103" s="89">
        <v>665</v>
      </c>
      <c r="H103" s="90">
        <v>188</v>
      </c>
      <c r="I103" s="86"/>
      <c r="J103" s="86"/>
      <c r="K103" s="87"/>
      <c r="L103" s="86"/>
      <c r="M103" s="86"/>
      <c r="N103" s="87"/>
      <c r="O103" s="86"/>
      <c r="P103" s="86"/>
      <c r="Q103" s="87"/>
    </row>
    <row r="104" spans="1:17" ht="45" customHeight="1">
      <c r="A104" s="81">
        <v>15</v>
      </c>
      <c r="B104" s="82"/>
      <c r="C104" s="101" t="s">
        <v>403</v>
      </c>
      <c r="D104" s="101" t="s">
        <v>117</v>
      </c>
      <c r="E104" s="84" t="s">
        <v>401</v>
      </c>
      <c r="F104" s="85"/>
      <c r="G104" s="85"/>
      <c r="H104" s="88"/>
      <c r="I104" s="86"/>
      <c r="J104" s="86"/>
      <c r="K104" s="87"/>
      <c r="L104" s="86"/>
      <c r="M104" s="86"/>
      <c r="N104" s="87"/>
      <c r="O104" s="86"/>
      <c r="P104" s="86"/>
      <c r="Q104" s="87"/>
    </row>
    <row r="105" spans="1:17" ht="14.45" customHeight="1">
      <c r="A105" s="81">
        <v>15</v>
      </c>
      <c r="B105" s="82"/>
      <c r="C105" s="101" t="s">
        <v>403</v>
      </c>
      <c r="D105" s="101" t="s">
        <v>117</v>
      </c>
      <c r="E105" s="84" t="s">
        <v>401</v>
      </c>
      <c r="F105" s="89">
        <v>21</v>
      </c>
      <c r="G105" s="85"/>
      <c r="H105" s="88"/>
      <c r="I105" s="86"/>
      <c r="J105" s="86"/>
      <c r="K105" s="87"/>
      <c r="L105" s="86"/>
      <c r="M105" s="86"/>
      <c r="N105" s="87"/>
      <c r="O105" s="86"/>
      <c r="P105" s="86"/>
      <c r="Q105" s="87"/>
    </row>
    <row r="106" spans="1:17" ht="24" customHeight="1">
      <c r="A106" s="91">
        <v>15</v>
      </c>
      <c r="B106" s="92"/>
      <c r="C106" s="102" t="s">
        <v>403</v>
      </c>
      <c r="D106" s="102" t="s">
        <v>117</v>
      </c>
      <c r="E106" s="94" t="s">
        <v>401</v>
      </c>
      <c r="F106" s="95" t="s">
        <v>56</v>
      </c>
      <c r="G106" s="96">
        <v>521000</v>
      </c>
      <c r="H106" s="97">
        <v>521000</v>
      </c>
      <c r="I106" s="98"/>
      <c r="J106" s="98"/>
      <c r="K106" s="99"/>
      <c r="L106" s="98"/>
      <c r="M106" s="98"/>
      <c r="N106" s="99"/>
      <c r="O106" s="98"/>
      <c r="P106" s="98"/>
      <c r="Q106" s="99"/>
    </row>
    <row r="107" spans="1:17" ht="14.45" customHeight="1">
      <c r="A107" s="75">
        <v>16</v>
      </c>
      <c r="B107" s="76"/>
      <c r="C107" s="103" t="s">
        <v>423</v>
      </c>
      <c r="D107" s="103" t="s">
        <v>165</v>
      </c>
      <c r="E107" s="78" t="s">
        <v>411</v>
      </c>
      <c r="F107" s="79" t="s">
        <v>50</v>
      </c>
      <c r="G107" s="79" t="s">
        <v>50</v>
      </c>
      <c r="H107" s="80" t="s">
        <v>50</v>
      </c>
      <c r="I107" s="79"/>
      <c r="J107" s="79"/>
      <c r="K107" s="80"/>
      <c r="L107" s="79"/>
      <c r="M107" s="79"/>
      <c r="N107" s="80"/>
      <c r="O107" s="79"/>
      <c r="P107" s="79"/>
      <c r="Q107" s="80"/>
    </row>
    <row r="108" spans="1:17" ht="60" customHeight="1">
      <c r="A108" s="81">
        <v>16</v>
      </c>
      <c r="B108" s="82"/>
      <c r="C108" s="104" t="s">
        <v>423</v>
      </c>
      <c r="D108" s="104" t="s">
        <v>165</v>
      </c>
      <c r="E108" s="84" t="s">
        <v>411</v>
      </c>
      <c r="F108" s="85"/>
      <c r="G108" s="86" t="s">
        <v>424</v>
      </c>
      <c r="H108" s="87" t="s">
        <v>424</v>
      </c>
      <c r="I108" s="86"/>
      <c r="J108" s="86"/>
      <c r="K108" s="87"/>
      <c r="L108" s="86"/>
      <c r="M108" s="86"/>
      <c r="N108" s="87"/>
      <c r="O108" s="86"/>
      <c r="P108" s="86"/>
      <c r="Q108" s="87"/>
    </row>
    <row r="109" spans="1:17" ht="45" customHeight="1">
      <c r="A109" s="81">
        <v>16</v>
      </c>
      <c r="B109" s="82"/>
      <c r="C109" s="104" t="s">
        <v>423</v>
      </c>
      <c r="D109" s="104" t="s">
        <v>165</v>
      </c>
      <c r="E109" s="84" t="s">
        <v>411</v>
      </c>
      <c r="F109" s="85"/>
      <c r="G109" s="85"/>
      <c r="H109" s="88"/>
      <c r="I109" s="86"/>
      <c r="J109" s="86"/>
      <c r="K109" s="87"/>
      <c r="L109" s="86"/>
      <c r="M109" s="86"/>
      <c r="N109" s="87"/>
      <c r="O109" s="86"/>
      <c r="P109" s="86"/>
      <c r="Q109" s="87"/>
    </row>
    <row r="110" spans="1:17" ht="14.45" customHeight="1">
      <c r="A110" s="81">
        <v>16</v>
      </c>
      <c r="B110" s="82"/>
      <c r="C110" s="104" t="s">
        <v>423</v>
      </c>
      <c r="D110" s="104" t="s">
        <v>165</v>
      </c>
      <c r="E110" s="84" t="s">
        <v>411</v>
      </c>
      <c r="F110" s="89">
        <v>143</v>
      </c>
      <c r="G110" s="89">
        <v>612</v>
      </c>
      <c r="H110" s="90">
        <v>49</v>
      </c>
      <c r="I110" s="86"/>
      <c r="J110" s="86"/>
      <c r="K110" s="87"/>
      <c r="L110" s="86"/>
      <c r="M110" s="86"/>
      <c r="N110" s="87"/>
      <c r="O110" s="86"/>
      <c r="P110" s="86"/>
      <c r="Q110" s="87"/>
    </row>
    <row r="111" spans="1:17" ht="45" customHeight="1">
      <c r="A111" s="81">
        <v>16</v>
      </c>
      <c r="B111" s="82"/>
      <c r="C111" s="104" t="s">
        <v>423</v>
      </c>
      <c r="D111" s="104" t="s">
        <v>165</v>
      </c>
      <c r="E111" s="84" t="s">
        <v>411</v>
      </c>
      <c r="F111" s="85"/>
      <c r="G111" s="85"/>
      <c r="H111" s="88"/>
      <c r="I111" s="86"/>
      <c r="J111" s="86"/>
      <c r="K111" s="87"/>
      <c r="L111" s="86"/>
      <c r="M111" s="86"/>
      <c r="N111" s="87"/>
      <c r="O111" s="86"/>
      <c r="P111" s="86"/>
      <c r="Q111" s="87"/>
    </row>
    <row r="112" spans="1:17" ht="14.45" customHeight="1">
      <c r="A112" s="81">
        <v>16</v>
      </c>
      <c r="B112" s="82"/>
      <c r="C112" s="104" t="s">
        <v>423</v>
      </c>
      <c r="D112" s="104" t="s">
        <v>165</v>
      </c>
      <c r="E112" s="84" t="s">
        <v>411</v>
      </c>
      <c r="F112" s="89">
        <v>278</v>
      </c>
      <c r="G112" s="85"/>
      <c r="H112" s="88"/>
      <c r="I112" s="86"/>
      <c r="J112" s="86"/>
      <c r="K112" s="87"/>
      <c r="L112" s="86"/>
      <c r="M112" s="86"/>
      <c r="N112" s="87"/>
      <c r="O112" s="86"/>
      <c r="P112" s="86"/>
      <c r="Q112" s="87"/>
    </row>
    <row r="113" spans="1:17" ht="24" customHeight="1">
      <c r="A113" s="91">
        <v>16</v>
      </c>
      <c r="B113" s="92"/>
      <c r="C113" s="105" t="s">
        <v>423</v>
      </c>
      <c r="D113" s="105" t="s">
        <v>165</v>
      </c>
      <c r="E113" s="94" t="s">
        <v>411</v>
      </c>
      <c r="F113" s="95" t="s">
        <v>56</v>
      </c>
      <c r="G113" s="96">
        <v>126000</v>
      </c>
      <c r="H113" s="97">
        <v>126000</v>
      </c>
      <c r="I113" s="98"/>
      <c r="J113" s="98"/>
      <c r="K113" s="99"/>
      <c r="L113" s="98"/>
      <c r="M113" s="98"/>
      <c r="N113" s="99"/>
      <c r="O113" s="98"/>
      <c r="P113" s="98"/>
      <c r="Q113" s="99"/>
    </row>
    <row r="114" spans="1:17" ht="14.45" customHeight="1">
      <c r="A114" s="75">
        <v>17</v>
      </c>
      <c r="B114" s="76"/>
      <c r="C114" s="103" t="s">
        <v>422</v>
      </c>
      <c r="D114" s="103" t="s">
        <v>165</v>
      </c>
      <c r="E114" s="78" t="s">
        <v>411</v>
      </c>
      <c r="F114" s="79" t="s">
        <v>50</v>
      </c>
      <c r="G114" s="79" t="s">
        <v>50</v>
      </c>
      <c r="H114" s="80" t="s">
        <v>50</v>
      </c>
      <c r="I114" s="79"/>
      <c r="J114" s="79"/>
      <c r="K114" s="80"/>
      <c r="L114" s="79"/>
      <c r="M114" s="79"/>
      <c r="N114" s="80"/>
      <c r="O114" s="79"/>
      <c r="P114" s="79"/>
      <c r="Q114" s="80"/>
    </row>
    <row r="115" spans="1:17" ht="60" customHeight="1">
      <c r="A115" s="81">
        <v>17</v>
      </c>
      <c r="B115" s="82"/>
      <c r="C115" s="104" t="s">
        <v>422</v>
      </c>
      <c r="D115" s="104" t="s">
        <v>165</v>
      </c>
      <c r="E115" s="84" t="s">
        <v>411</v>
      </c>
      <c r="F115" s="85"/>
      <c r="G115" s="86" t="s">
        <v>425</v>
      </c>
      <c r="H115" s="87" t="s">
        <v>425</v>
      </c>
      <c r="I115" s="86"/>
      <c r="J115" s="86"/>
      <c r="K115" s="87"/>
      <c r="L115" s="86"/>
      <c r="M115" s="86"/>
      <c r="N115" s="87"/>
      <c r="O115" s="86"/>
      <c r="P115" s="86"/>
      <c r="Q115" s="87"/>
    </row>
    <row r="116" spans="1:17" ht="45" customHeight="1">
      <c r="A116" s="81">
        <v>17</v>
      </c>
      <c r="B116" s="82"/>
      <c r="C116" s="104" t="s">
        <v>422</v>
      </c>
      <c r="D116" s="104" t="s">
        <v>165</v>
      </c>
      <c r="E116" s="84" t="s">
        <v>411</v>
      </c>
      <c r="F116" s="85"/>
      <c r="G116" s="85"/>
      <c r="H116" s="88"/>
      <c r="I116" s="86"/>
      <c r="J116" s="86"/>
      <c r="K116" s="87"/>
      <c r="L116" s="86"/>
      <c r="M116" s="86"/>
      <c r="N116" s="87"/>
      <c r="O116" s="86"/>
      <c r="P116" s="86"/>
      <c r="Q116" s="87"/>
    </row>
    <row r="117" spans="1:17" ht="14.45" customHeight="1">
      <c r="A117" s="81">
        <v>17</v>
      </c>
      <c r="B117" s="82"/>
      <c r="C117" s="104" t="s">
        <v>422</v>
      </c>
      <c r="D117" s="104" t="s">
        <v>165</v>
      </c>
      <c r="E117" s="84" t="s">
        <v>411</v>
      </c>
      <c r="F117" s="89">
        <v>143</v>
      </c>
      <c r="G117" s="89">
        <v>510</v>
      </c>
      <c r="H117" s="90">
        <v>49</v>
      </c>
      <c r="I117" s="86"/>
      <c r="J117" s="86"/>
      <c r="K117" s="87"/>
      <c r="L117" s="86"/>
      <c r="M117" s="86"/>
      <c r="N117" s="87"/>
      <c r="O117" s="86"/>
      <c r="P117" s="86"/>
      <c r="Q117" s="87"/>
    </row>
    <row r="118" spans="1:17" ht="45" customHeight="1">
      <c r="A118" s="81">
        <v>17</v>
      </c>
      <c r="B118" s="82"/>
      <c r="C118" s="104" t="s">
        <v>422</v>
      </c>
      <c r="D118" s="104" t="s">
        <v>165</v>
      </c>
      <c r="E118" s="84" t="s">
        <v>411</v>
      </c>
      <c r="F118" s="85"/>
      <c r="G118" s="85"/>
      <c r="H118" s="88"/>
      <c r="I118" s="86"/>
      <c r="J118" s="86"/>
      <c r="K118" s="87"/>
      <c r="L118" s="86"/>
      <c r="M118" s="86"/>
      <c r="N118" s="87"/>
      <c r="O118" s="86"/>
      <c r="P118" s="86"/>
      <c r="Q118" s="87"/>
    </row>
    <row r="119" spans="1:17" ht="14.45" customHeight="1">
      <c r="A119" s="81">
        <v>17</v>
      </c>
      <c r="B119" s="82"/>
      <c r="C119" s="104" t="s">
        <v>422</v>
      </c>
      <c r="D119" s="104" t="s">
        <v>165</v>
      </c>
      <c r="E119" s="84" t="s">
        <v>411</v>
      </c>
      <c r="F119" s="89">
        <v>347</v>
      </c>
      <c r="G119" s="85"/>
      <c r="H119" s="88"/>
      <c r="I119" s="86"/>
      <c r="J119" s="86"/>
      <c r="K119" s="87"/>
      <c r="L119" s="86"/>
      <c r="M119" s="86"/>
      <c r="N119" s="87"/>
      <c r="O119" s="86"/>
      <c r="P119" s="86"/>
      <c r="Q119" s="87"/>
    </row>
    <row r="120" spans="1:17" ht="24" customHeight="1">
      <c r="A120" s="91">
        <v>17</v>
      </c>
      <c r="B120" s="92"/>
      <c r="C120" s="105" t="s">
        <v>422</v>
      </c>
      <c r="D120" s="105" t="s">
        <v>165</v>
      </c>
      <c r="E120" s="94" t="s">
        <v>411</v>
      </c>
      <c r="F120" s="95" t="s">
        <v>56</v>
      </c>
      <c r="G120" s="96">
        <v>126000</v>
      </c>
      <c r="H120" s="97">
        <v>126000</v>
      </c>
      <c r="I120" s="98"/>
      <c r="J120" s="98"/>
      <c r="K120" s="99"/>
      <c r="L120" s="98"/>
      <c r="M120" s="98"/>
      <c r="N120" s="99"/>
      <c r="O120" s="98"/>
      <c r="P120" s="98"/>
      <c r="Q120" s="99"/>
    </row>
    <row r="121" spans="1:17" ht="14.45" customHeight="1">
      <c r="A121" s="75">
        <v>18</v>
      </c>
      <c r="B121" s="76"/>
      <c r="C121" s="103" t="s">
        <v>421</v>
      </c>
      <c r="D121" s="103" t="s">
        <v>165</v>
      </c>
      <c r="E121" s="78" t="s">
        <v>401</v>
      </c>
      <c r="F121" s="79" t="s">
        <v>50</v>
      </c>
      <c r="G121" s="79" t="s">
        <v>50</v>
      </c>
      <c r="H121" s="80" t="s">
        <v>50</v>
      </c>
      <c r="I121" s="79"/>
      <c r="J121" s="79"/>
      <c r="K121" s="80"/>
      <c r="L121" s="79"/>
      <c r="M121" s="79"/>
      <c r="N121" s="80"/>
      <c r="O121" s="79"/>
      <c r="P121" s="79"/>
      <c r="Q121" s="80"/>
    </row>
    <row r="122" spans="1:17" ht="60" customHeight="1">
      <c r="A122" s="81">
        <v>18</v>
      </c>
      <c r="B122" s="82"/>
      <c r="C122" s="104" t="s">
        <v>421</v>
      </c>
      <c r="D122" s="104" t="s">
        <v>165</v>
      </c>
      <c r="E122" s="84" t="s">
        <v>401</v>
      </c>
      <c r="F122" s="85"/>
      <c r="G122" s="86" t="s">
        <v>426</v>
      </c>
      <c r="H122" s="87" t="s">
        <v>426</v>
      </c>
      <c r="I122" s="86"/>
      <c r="J122" s="86"/>
      <c r="K122" s="87"/>
      <c r="L122" s="86"/>
      <c r="M122" s="86"/>
      <c r="N122" s="87"/>
      <c r="O122" s="86"/>
      <c r="P122" s="86"/>
      <c r="Q122" s="87"/>
    </row>
    <row r="123" spans="1:17" ht="45" customHeight="1">
      <c r="A123" s="81">
        <v>18</v>
      </c>
      <c r="B123" s="82"/>
      <c r="C123" s="104" t="s">
        <v>421</v>
      </c>
      <c r="D123" s="104" t="s">
        <v>165</v>
      </c>
      <c r="E123" s="84" t="s">
        <v>401</v>
      </c>
      <c r="F123" s="85"/>
      <c r="G123" s="85"/>
      <c r="H123" s="88"/>
      <c r="I123" s="86"/>
      <c r="J123" s="86"/>
      <c r="K123" s="87"/>
      <c r="L123" s="86"/>
      <c r="M123" s="86"/>
      <c r="N123" s="87"/>
      <c r="O123" s="86"/>
      <c r="P123" s="86"/>
      <c r="Q123" s="87"/>
    </row>
    <row r="124" spans="1:17" ht="14.45" customHeight="1">
      <c r="A124" s="81">
        <v>18</v>
      </c>
      <c r="B124" s="82"/>
      <c r="C124" s="104" t="s">
        <v>421</v>
      </c>
      <c r="D124" s="104" t="s">
        <v>165</v>
      </c>
      <c r="E124" s="84" t="s">
        <v>401</v>
      </c>
      <c r="F124" s="89">
        <v>171</v>
      </c>
      <c r="G124" s="89">
        <v>476</v>
      </c>
      <c r="H124" s="90">
        <v>59</v>
      </c>
      <c r="I124" s="86"/>
      <c r="J124" s="86"/>
      <c r="K124" s="87"/>
      <c r="L124" s="86"/>
      <c r="M124" s="86"/>
      <c r="N124" s="87"/>
      <c r="O124" s="86"/>
      <c r="P124" s="86"/>
      <c r="Q124" s="87"/>
    </row>
    <row r="125" spans="1:17" ht="45" customHeight="1">
      <c r="A125" s="81">
        <v>18</v>
      </c>
      <c r="B125" s="82"/>
      <c r="C125" s="104" t="s">
        <v>421</v>
      </c>
      <c r="D125" s="104" t="s">
        <v>165</v>
      </c>
      <c r="E125" s="84" t="s">
        <v>401</v>
      </c>
      <c r="F125" s="85"/>
      <c r="G125" s="85"/>
      <c r="H125" s="88"/>
      <c r="I125" s="86"/>
      <c r="J125" s="86"/>
      <c r="K125" s="87"/>
      <c r="L125" s="86"/>
      <c r="M125" s="86"/>
      <c r="N125" s="87"/>
      <c r="O125" s="86"/>
      <c r="P125" s="86"/>
      <c r="Q125" s="87"/>
    </row>
    <row r="126" spans="1:17" ht="14.45" customHeight="1">
      <c r="A126" s="81">
        <v>18</v>
      </c>
      <c r="B126" s="82"/>
      <c r="C126" s="104" t="s">
        <v>421</v>
      </c>
      <c r="D126" s="104" t="s">
        <v>165</v>
      </c>
      <c r="E126" s="84" t="s">
        <v>401</v>
      </c>
      <c r="F126" s="89">
        <v>278</v>
      </c>
      <c r="G126" s="85"/>
      <c r="H126" s="88"/>
      <c r="I126" s="86"/>
      <c r="J126" s="86"/>
      <c r="K126" s="87"/>
      <c r="L126" s="86"/>
      <c r="M126" s="86"/>
      <c r="N126" s="87"/>
      <c r="O126" s="86"/>
      <c r="P126" s="86"/>
      <c r="Q126" s="87"/>
    </row>
    <row r="127" spans="1:17" ht="24" customHeight="1">
      <c r="A127" s="91">
        <v>18</v>
      </c>
      <c r="B127" s="92"/>
      <c r="C127" s="105" t="s">
        <v>421</v>
      </c>
      <c r="D127" s="105" t="s">
        <v>165</v>
      </c>
      <c r="E127" s="94" t="s">
        <v>401</v>
      </c>
      <c r="F127" s="95" t="s">
        <v>56</v>
      </c>
      <c r="G127" s="96">
        <v>126000</v>
      </c>
      <c r="H127" s="97">
        <v>126000</v>
      </c>
      <c r="I127" s="98"/>
      <c r="J127" s="98"/>
      <c r="K127" s="99"/>
      <c r="L127" s="98"/>
      <c r="M127" s="98"/>
      <c r="N127" s="99"/>
      <c r="O127" s="98"/>
      <c r="P127" s="98"/>
      <c r="Q127" s="99"/>
    </row>
    <row r="128" spans="1:17" ht="14.45" customHeight="1">
      <c r="A128" s="75">
        <v>19</v>
      </c>
      <c r="B128" s="76"/>
      <c r="C128" s="103" t="s">
        <v>419</v>
      </c>
      <c r="D128" s="103" t="s">
        <v>165</v>
      </c>
      <c r="E128" s="78" t="s">
        <v>401</v>
      </c>
      <c r="F128" s="79" t="s">
        <v>50</v>
      </c>
      <c r="G128" s="79" t="s">
        <v>50</v>
      </c>
      <c r="H128" s="80" t="s">
        <v>50</v>
      </c>
      <c r="I128" s="79"/>
      <c r="J128" s="79"/>
      <c r="K128" s="80"/>
      <c r="L128" s="79"/>
      <c r="M128" s="79"/>
      <c r="N128" s="80"/>
      <c r="O128" s="79"/>
      <c r="P128" s="79"/>
      <c r="Q128" s="80"/>
    </row>
    <row r="129" spans="1:17" ht="60" customHeight="1">
      <c r="A129" s="81">
        <v>19</v>
      </c>
      <c r="B129" s="82"/>
      <c r="C129" s="104" t="s">
        <v>419</v>
      </c>
      <c r="D129" s="104" t="s">
        <v>165</v>
      </c>
      <c r="E129" s="84" t="s">
        <v>401</v>
      </c>
      <c r="F129" s="85"/>
      <c r="G129" s="86" t="s">
        <v>427</v>
      </c>
      <c r="H129" s="87" t="s">
        <v>427</v>
      </c>
      <c r="I129" s="86"/>
      <c r="J129" s="86"/>
      <c r="K129" s="87"/>
      <c r="L129" s="86"/>
      <c r="M129" s="86"/>
      <c r="N129" s="87"/>
      <c r="O129" s="86"/>
      <c r="P129" s="86"/>
      <c r="Q129" s="87"/>
    </row>
    <row r="130" spans="1:17" ht="45" customHeight="1">
      <c r="A130" s="81">
        <v>19</v>
      </c>
      <c r="B130" s="82"/>
      <c r="C130" s="104" t="s">
        <v>419</v>
      </c>
      <c r="D130" s="104" t="s">
        <v>165</v>
      </c>
      <c r="E130" s="84" t="s">
        <v>401</v>
      </c>
      <c r="F130" s="85"/>
      <c r="G130" s="85"/>
      <c r="H130" s="88"/>
      <c r="I130" s="86"/>
      <c r="J130" s="86"/>
      <c r="K130" s="87"/>
      <c r="L130" s="86"/>
      <c r="M130" s="86"/>
      <c r="N130" s="87"/>
      <c r="O130" s="86"/>
      <c r="P130" s="86"/>
      <c r="Q130" s="87"/>
    </row>
    <row r="131" spans="1:17" ht="14.45" customHeight="1">
      <c r="A131" s="81">
        <v>19</v>
      </c>
      <c r="B131" s="82"/>
      <c r="C131" s="104" t="s">
        <v>419</v>
      </c>
      <c r="D131" s="104" t="s">
        <v>165</v>
      </c>
      <c r="E131" s="84" t="s">
        <v>401</v>
      </c>
      <c r="F131" s="89">
        <v>171</v>
      </c>
      <c r="G131" s="89">
        <v>408</v>
      </c>
      <c r="H131" s="90">
        <v>59</v>
      </c>
      <c r="I131" s="86"/>
      <c r="J131" s="86"/>
      <c r="K131" s="87"/>
      <c r="L131" s="86"/>
      <c r="M131" s="86"/>
      <c r="N131" s="87"/>
      <c r="O131" s="86"/>
      <c r="P131" s="86"/>
      <c r="Q131" s="87"/>
    </row>
    <row r="132" spans="1:17" ht="45" customHeight="1">
      <c r="A132" s="81">
        <v>19</v>
      </c>
      <c r="B132" s="82"/>
      <c r="C132" s="104" t="s">
        <v>419</v>
      </c>
      <c r="D132" s="104" t="s">
        <v>165</v>
      </c>
      <c r="E132" s="84" t="s">
        <v>401</v>
      </c>
      <c r="F132" s="85"/>
      <c r="G132" s="85"/>
      <c r="H132" s="88"/>
      <c r="I132" s="86"/>
      <c r="J132" s="86"/>
      <c r="K132" s="87"/>
      <c r="L132" s="86"/>
      <c r="M132" s="86"/>
      <c r="N132" s="87"/>
      <c r="O132" s="86"/>
      <c r="P132" s="86"/>
      <c r="Q132" s="87"/>
    </row>
    <row r="133" spans="1:17" ht="14.45" customHeight="1">
      <c r="A133" s="81">
        <v>19</v>
      </c>
      <c r="B133" s="82"/>
      <c r="C133" s="104" t="s">
        <v>419</v>
      </c>
      <c r="D133" s="104" t="s">
        <v>165</v>
      </c>
      <c r="E133" s="84" t="s">
        <v>401</v>
      </c>
      <c r="F133" s="89">
        <v>324</v>
      </c>
      <c r="G133" s="85"/>
      <c r="H133" s="88"/>
      <c r="I133" s="86"/>
      <c r="J133" s="86"/>
      <c r="K133" s="87"/>
      <c r="L133" s="86"/>
      <c r="M133" s="86"/>
      <c r="N133" s="87"/>
      <c r="O133" s="86"/>
      <c r="P133" s="86"/>
      <c r="Q133" s="87"/>
    </row>
    <row r="134" spans="1:17" ht="24" customHeight="1">
      <c r="A134" s="91">
        <v>19</v>
      </c>
      <c r="B134" s="92"/>
      <c r="C134" s="105" t="s">
        <v>419</v>
      </c>
      <c r="D134" s="105" t="s">
        <v>165</v>
      </c>
      <c r="E134" s="94" t="s">
        <v>401</v>
      </c>
      <c r="F134" s="95" t="s">
        <v>56</v>
      </c>
      <c r="G134" s="96">
        <v>126000</v>
      </c>
      <c r="H134" s="97">
        <v>126000</v>
      </c>
      <c r="I134" s="98"/>
      <c r="J134" s="98"/>
      <c r="K134" s="99"/>
      <c r="L134" s="98"/>
      <c r="M134" s="98"/>
      <c r="N134" s="99"/>
      <c r="O134" s="98"/>
      <c r="P134" s="98"/>
      <c r="Q134" s="99"/>
    </row>
    <row r="135" spans="1:17" ht="14.45" customHeight="1">
      <c r="A135" s="75">
        <v>20</v>
      </c>
      <c r="B135" s="76"/>
      <c r="C135" s="103" t="s">
        <v>420</v>
      </c>
      <c r="D135" s="103" t="s">
        <v>165</v>
      </c>
      <c r="E135" s="78" t="s">
        <v>411</v>
      </c>
      <c r="F135" s="79" t="s">
        <v>50</v>
      </c>
      <c r="G135" s="79" t="s">
        <v>50</v>
      </c>
      <c r="H135" s="80" t="s">
        <v>50</v>
      </c>
      <c r="I135" s="79"/>
      <c r="J135" s="79"/>
      <c r="K135" s="80"/>
      <c r="L135" s="79"/>
      <c r="M135" s="79"/>
      <c r="N135" s="80"/>
      <c r="O135" s="79"/>
      <c r="P135" s="79"/>
      <c r="Q135" s="80"/>
    </row>
    <row r="136" spans="1:17" ht="60" customHeight="1">
      <c r="A136" s="81">
        <v>20</v>
      </c>
      <c r="B136" s="82"/>
      <c r="C136" s="104" t="s">
        <v>420</v>
      </c>
      <c r="D136" s="104" t="s">
        <v>165</v>
      </c>
      <c r="E136" s="84" t="s">
        <v>411</v>
      </c>
      <c r="F136" s="85"/>
      <c r="G136" s="86" t="s">
        <v>428</v>
      </c>
      <c r="H136" s="87" t="s">
        <v>428</v>
      </c>
      <c r="I136" s="86"/>
      <c r="J136" s="86"/>
      <c r="K136" s="87"/>
      <c r="L136" s="86"/>
      <c r="M136" s="86"/>
      <c r="N136" s="87"/>
      <c r="O136" s="86"/>
      <c r="P136" s="86"/>
      <c r="Q136" s="87"/>
    </row>
    <row r="137" spans="1:17" ht="45" customHeight="1">
      <c r="A137" s="81">
        <v>20</v>
      </c>
      <c r="B137" s="82"/>
      <c r="C137" s="104" t="s">
        <v>420</v>
      </c>
      <c r="D137" s="104" t="s">
        <v>165</v>
      </c>
      <c r="E137" s="84" t="s">
        <v>411</v>
      </c>
      <c r="F137" s="85"/>
      <c r="G137" s="85"/>
      <c r="H137" s="88"/>
      <c r="I137" s="86"/>
      <c r="J137" s="86"/>
      <c r="K137" s="87"/>
      <c r="L137" s="86"/>
      <c r="M137" s="86"/>
      <c r="N137" s="87"/>
      <c r="O137" s="86"/>
      <c r="P137" s="86"/>
      <c r="Q137" s="87"/>
    </row>
    <row r="138" spans="1:17" ht="14.45" customHeight="1">
      <c r="A138" s="81">
        <v>20</v>
      </c>
      <c r="B138" s="82"/>
      <c r="C138" s="104" t="s">
        <v>420</v>
      </c>
      <c r="D138" s="104" t="s">
        <v>165</v>
      </c>
      <c r="E138" s="84" t="s">
        <v>411</v>
      </c>
      <c r="F138" s="89">
        <v>143</v>
      </c>
      <c r="G138" s="89">
        <v>408</v>
      </c>
      <c r="H138" s="90">
        <v>49</v>
      </c>
      <c r="I138" s="86"/>
      <c r="J138" s="86"/>
      <c r="K138" s="87"/>
      <c r="L138" s="86"/>
      <c r="M138" s="86"/>
      <c r="N138" s="87"/>
      <c r="O138" s="86"/>
      <c r="P138" s="86"/>
      <c r="Q138" s="87"/>
    </row>
    <row r="139" spans="1:17" ht="45" customHeight="1">
      <c r="A139" s="81">
        <v>20</v>
      </c>
      <c r="B139" s="82"/>
      <c r="C139" s="104" t="s">
        <v>420</v>
      </c>
      <c r="D139" s="104" t="s">
        <v>165</v>
      </c>
      <c r="E139" s="84" t="s">
        <v>411</v>
      </c>
      <c r="F139" s="85"/>
      <c r="G139" s="85"/>
      <c r="H139" s="88"/>
      <c r="I139" s="86"/>
      <c r="J139" s="86"/>
      <c r="K139" s="87"/>
      <c r="L139" s="86"/>
      <c r="M139" s="86"/>
      <c r="N139" s="87"/>
      <c r="O139" s="86"/>
      <c r="P139" s="86"/>
      <c r="Q139" s="87"/>
    </row>
    <row r="140" spans="1:17" ht="14.45" customHeight="1">
      <c r="A140" s="81">
        <v>20</v>
      </c>
      <c r="B140" s="82"/>
      <c r="C140" s="104" t="s">
        <v>420</v>
      </c>
      <c r="D140" s="104" t="s">
        <v>165</v>
      </c>
      <c r="E140" s="84" t="s">
        <v>411</v>
      </c>
      <c r="F140" s="89">
        <v>417</v>
      </c>
      <c r="G140" s="85"/>
      <c r="H140" s="88"/>
      <c r="I140" s="86"/>
      <c r="J140" s="86"/>
      <c r="K140" s="87"/>
      <c r="L140" s="86"/>
      <c r="M140" s="86"/>
      <c r="N140" s="87"/>
      <c r="O140" s="86"/>
      <c r="P140" s="86"/>
      <c r="Q140" s="87"/>
    </row>
    <row r="141" spans="1:17" ht="24" customHeight="1">
      <c r="A141" s="91">
        <v>20</v>
      </c>
      <c r="B141" s="92"/>
      <c r="C141" s="105" t="s">
        <v>420</v>
      </c>
      <c r="D141" s="105" t="s">
        <v>165</v>
      </c>
      <c r="E141" s="94" t="s">
        <v>411</v>
      </c>
      <c r="F141" s="95" t="s">
        <v>56</v>
      </c>
      <c r="G141" s="96">
        <v>126000</v>
      </c>
      <c r="H141" s="97">
        <v>126000</v>
      </c>
      <c r="I141" s="98"/>
      <c r="J141" s="98"/>
      <c r="K141" s="99"/>
      <c r="L141" s="98"/>
      <c r="M141" s="98"/>
      <c r="N141" s="99"/>
      <c r="O141" s="98"/>
      <c r="P141" s="98"/>
      <c r="Q141" s="99"/>
    </row>
    <row r="142" spans="1:17" ht="14.45" customHeight="1">
      <c r="A142" s="75">
        <v>21</v>
      </c>
      <c r="B142" s="76"/>
      <c r="C142" s="103" t="s">
        <v>418</v>
      </c>
      <c r="D142" s="103" t="s">
        <v>165</v>
      </c>
      <c r="E142" s="78" t="s">
        <v>401</v>
      </c>
      <c r="F142" s="79" t="s">
        <v>50</v>
      </c>
      <c r="G142" s="79" t="s">
        <v>50</v>
      </c>
      <c r="H142" s="80" t="s">
        <v>50</v>
      </c>
      <c r="I142" s="79"/>
      <c r="J142" s="79"/>
      <c r="K142" s="80"/>
      <c r="L142" s="79"/>
      <c r="M142" s="79"/>
      <c r="N142" s="80"/>
      <c r="O142" s="79"/>
      <c r="P142" s="79"/>
      <c r="Q142" s="80"/>
    </row>
    <row r="143" spans="1:17" ht="60" customHeight="1">
      <c r="A143" s="81">
        <v>21</v>
      </c>
      <c r="B143" s="82"/>
      <c r="C143" s="104" t="s">
        <v>418</v>
      </c>
      <c r="D143" s="104" t="s">
        <v>165</v>
      </c>
      <c r="E143" s="84" t="s">
        <v>401</v>
      </c>
      <c r="F143" s="85"/>
      <c r="G143" s="86" t="s">
        <v>429</v>
      </c>
      <c r="H143" s="87" t="s">
        <v>429</v>
      </c>
      <c r="I143" s="86"/>
      <c r="J143" s="86"/>
      <c r="K143" s="87"/>
      <c r="L143" s="86"/>
      <c r="M143" s="86"/>
      <c r="N143" s="87"/>
      <c r="O143" s="86"/>
      <c r="P143" s="86"/>
      <c r="Q143" s="87"/>
    </row>
    <row r="144" spans="1:17" ht="45" customHeight="1">
      <c r="A144" s="81">
        <v>21</v>
      </c>
      <c r="B144" s="82"/>
      <c r="C144" s="104" t="s">
        <v>418</v>
      </c>
      <c r="D144" s="104" t="s">
        <v>165</v>
      </c>
      <c r="E144" s="84" t="s">
        <v>401</v>
      </c>
      <c r="F144" s="85"/>
      <c r="G144" s="85"/>
      <c r="H144" s="88"/>
      <c r="I144" s="86"/>
      <c r="J144" s="86"/>
      <c r="K144" s="87"/>
      <c r="L144" s="86"/>
      <c r="M144" s="86"/>
      <c r="N144" s="87"/>
      <c r="O144" s="86"/>
      <c r="P144" s="86"/>
      <c r="Q144" s="87"/>
    </row>
    <row r="145" spans="1:17" ht="14.45" customHeight="1">
      <c r="A145" s="81">
        <v>21</v>
      </c>
      <c r="B145" s="82"/>
      <c r="C145" s="104" t="s">
        <v>418</v>
      </c>
      <c r="D145" s="104" t="s">
        <v>165</v>
      </c>
      <c r="E145" s="84" t="s">
        <v>401</v>
      </c>
      <c r="F145" s="89">
        <v>200</v>
      </c>
      <c r="G145" s="89">
        <v>374</v>
      </c>
      <c r="H145" s="90">
        <v>69</v>
      </c>
      <c r="I145" s="86"/>
      <c r="J145" s="86"/>
      <c r="K145" s="87"/>
      <c r="L145" s="86"/>
      <c r="M145" s="86"/>
      <c r="N145" s="87"/>
      <c r="O145" s="86"/>
      <c r="P145" s="86"/>
      <c r="Q145" s="87"/>
    </row>
    <row r="146" spans="1:17" ht="45" customHeight="1">
      <c r="A146" s="81">
        <v>21</v>
      </c>
      <c r="B146" s="82"/>
      <c r="C146" s="104" t="s">
        <v>418</v>
      </c>
      <c r="D146" s="104" t="s">
        <v>165</v>
      </c>
      <c r="E146" s="84" t="s">
        <v>401</v>
      </c>
      <c r="F146" s="85"/>
      <c r="G146" s="85"/>
      <c r="H146" s="88"/>
      <c r="I146" s="86"/>
      <c r="J146" s="86"/>
      <c r="K146" s="87"/>
      <c r="L146" s="86"/>
      <c r="M146" s="86"/>
      <c r="N146" s="87"/>
      <c r="O146" s="86"/>
      <c r="P146" s="86"/>
      <c r="Q146" s="87"/>
    </row>
    <row r="147" spans="1:17" ht="14.45" customHeight="1">
      <c r="A147" s="81">
        <v>21</v>
      </c>
      <c r="B147" s="82"/>
      <c r="C147" s="104" t="s">
        <v>418</v>
      </c>
      <c r="D147" s="104" t="s">
        <v>165</v>
      </c>
      <c r="E147" s="84" t="s">
        <v>401</v>
      </c>
      <c r="F147" s="89">
        <v>255</v>
      </c>
      <c r="G147" s="85"/>
      <c r="H147" s="88"/>
      <c r="I147" s="86"/>
      <c r="J147" s="86"/>
      <c r="K147" s="87"/>
      <c r="L147" s="86"/>
      <c r="M147" s="86"/>
      <c r="N147" s="87"/>
      <c r="O147" s="86"/>
      <c r="P147" s="86"/>
      <c r="Q147" s="87"/>
    </row>
    <row r="148" spans="1:17" ht="24" customHeight="1">
      <c r="A148" s="91">
        <v>21</v>
      </c>
      <c r="B148" s="92"/>
      <c r="C148" s="105" t="s">
        <v>418</v>
      </c>
      <c r="D148" s="105" t="s">
        <v>165</v>
      </c>
      <c r="E148" s="94" t="s">
        <v>401</v>
      </c>
      <c r="F148" s="95" t="s">
        <v>56</v>
      </c>
      <c r="G148" s="96">
        <v>126000</v>
      </c>
      <c r="H148" s="97">
        <v>126000</v>
      </c>
      <c r="I148" s="98"/>
      <c r="J148" s="98"/>
      <c r="K148" s="99"/>
      <c r="L148" s="98"/>
      <c r="M148" s="98"/>
      <c r="N148" s="99"/>
      <c r="O148" s="98"/>
      <c r="P148" s="98"/>
      <c r="Q148" s="99"/>
    </row>
    <row r="149" spans="1:17" ht="14.45" customHeight="1">
      <c r="A149" s="75">
        <v>22</v>
      </c>
      <c r="B149" s="76"/>
      <c r="C149" s="103" t="s">
        <v>417</v>
      </c>
      <c r="D149" s="103" t="s">
        <v>165</v>
      </c>
      <c r="E149" s="78" t="s">
        <v>401</v>
      </c>
      <c r="F149" s="79" t="s">
        <v>50</v>
      </c>
      <c r="G149" s="79" t="s">
        <v>50</v>
      </c>
      <c r="H149" s="80" t="s">
        <v>50</v>
      </c>
      <c r="I149" s="79"/>
      <c r="J149" s="79"/>
      <c r="K149" s="80"/>
      <c r="L149" s="79"/>
      <c r="M149" s="79"/>
      <c r="N149" s="80"/>
      <c r="O149" s="79"/>
      <c r="P149" s="79"/>
      <c r="Q149" s="80"/>
    </row>
    <row r="150" spans="1:17" ht="60" customHeight="1">
      <c r="A150" s="81">
        <v>22</v>
      </c>
      <c r="B150" s="82"/>
      <c r="C150" s="104" t="s">
        <v>417</v>
      </c>
      <c r="D150" s="104" t="s">
        <v>165</v>
      </c>
      <c r="E150" s="84" t="s">
        <v>401</v>
      </c>
      <c r="F150" s="85"/>
      <c r="G150" s="86" t="s">
        <v>430</v>
      </c>
      <c r="H150" s="87" t="s">
        <v>430</v>
      </c>
      <c r="I150" s="86"/>
      <c r="J150" s="86"/>
      <c r="K150" s="87"/>
      <c r="L150" s="86"/>
      <c r="M150" s="86"/>
      <c r="N150" s="87"/>
      <c r="O150" s="86"/>
      <c r="P150" s="86"/>
      <c r="Q150" s="87"/>
    </row>
    <row r="151" spans="1:17" ht="45" customHeight="1">
      <c r="A151" s="81">
        <v>22</v>
      </c>
      <c r="B151" s="82"/>
      <c r="C151" s="104" t="s">
        <v>417</v>
      </c>
      <c r="D151" s="104" t="s">
        <v>165</v>
      </c>
      <c r="E151" s="84" t="s">
        <v>401</v>
      </c>
      <c r="F151" s="85"/>
      <c r="G151" s="85"/>
      <c r="H151" s="88"/>
      <c r="I151" s="86"/>
      <c r="J151" s="86"/>
      <c r="K151" s="87"/>
      <c r="L151" s="86"/>
      <c r="M151" s="86"/>
      <c r="N151" s="87"/>
      <c r="O151" s="86"/>
      <c r="P151" s="86"/>
      <c r="Q151" s="87"/>
    </row>
    <row r="152" spans="1:17" ht="14.45" customHeight="1">
      <c r="A152" s="81">
        <v>22</v>
      </c>
      <c r="B152" s="82"/>
      <c r="C152" s="104" t="s">
        <v>417</v>
      </c>
      <c r="D152" s="104" t="s">
        <v>165</v>
      </c>
      <c r="E152" s="84" t="s">
        <v>401</v>
      </c>
      <c r="F152" s="89">
        <v>157</v>
      </c>
      <c r="G152" s="89">
        <v>374</v>
      </c>
      <c r="H152" s="90">
        <v>69</v>
      </c>
      <c r="I152" s="86"/>
      <c r="J152" s="86"/>
      <c r="K152" s="87"/>
      <c r="L152" s="86"/>
      <c r="M152" s="86"/>
      <c r="N152" s="87"/>
      <c r="O152" s="86"/>
      <c r="P152" s="86"/>
      <c r="Q152" s="87"/>
    </row>
    <row r="153" spans="1:17" ht="45" customHeight="1">
      <c r="A153" s="81">
        <v>22</v>
      </c>
      <c r="B153" s="82"/>
      <c r="C153" s="104" t="s">
        <v>417</v>
      </c>
      <c r="D153" s="104" t="s">
        <v>165</v>
      </c>
      <c r="E153" s="84" t="s">
        <v>401</v>
      </c>
      <c r="F153" s="85"/>
      <c r="G153" s="85"/>
      <c r="H153" s="88"/>
      <c r="I153" s="86"/>
      <c r="J153" s="86"/>
      <c r="K153" s="87"/>
      <c r="L153" s="86"/>
      <c r="M153" s="86"/>
      <c r="N153" s="87"/>
      <c r="O153" s="86"/>
      <c r="P153" s="86"/>
      <c r="Q153" s="87"/>
    </row>
    <row r="154" spans="1:17" ht="14.45" customHeight="1">
      <c r="A154" s="81">
        <v>22</v>
      </c>
      <c r="B154" s="82"/>
      <c r="C154" s="104" t="s">
        <v>417</v>
      </c>
      <c r="D154" s="104" t="s">
        <v>165</v>
      </c>
      <c r="E154" s="84" t="s">
        <v>401</v>
      </c>
      <c r="F154" s="89">
        <v>324</v>
      </c>
      <c r="G154" s="85"/>
      <c r="H154" s="88"/>
      <c r="I154" s="86"/>
      <c r="J154" s="86"/>
      <c r="K154" s="87"/>
      <c r="L154" s="86"/>
      <c r="M154" s="86"/>
      <c r="N154" s="87"/>
      <c r="O154" s="86"/>
      <c r="P154" s="86"/>
      <c r="Q154" s="87"/>
    </row>
    <row r="155" spans="1:17" ht="24" customHeight="1">
      <c r="A155" s="91">
        <v>22</v>
      </c>
      <c r="B155" s="92"/>
      <c r="C155" s="105" t="s">
        <v>417</v>
      </c>
      <c r="D155" s="105" t="s">
        <v>165</v>
      </c>
      <c r="E155" s="94" t="s">
        <v>401</v>
      </c>
      <c r="F155" s="95" t="s">
        <v>56</v>
      </c>
      <c r="G155" s="96">
        <v>126000</v>
      </c>
      <c r="H155" s="97">
        <v>126000</v>
      </c>
      <c r="I155" s="98"/>
      <c r="J155" s="98"/>
      <c r="K155" s="99"/>
      <c r="L155" s="98"/>
      <c r="M155" s="98"/>
      <c r="N155" s="99"/>
      <c r="O155" s="98"/>
      <c r="P155" s="98"/>
      <c r="Q155" s="99"/>
    </row>
    <row r="156" spans="1:17" ht="14.45" customHeight="1">
      <c r="A156" s="75">
        <v>23</v>
      </c>
      <c r="B156" s="76"/>
      <c r="C156" s="103" t="s">
        <v>424</v>
      </c>
      <c r="D156" s="103" t="s">
        <v>165</v>
      </c>
      <c r="E156" s="78" t="s">
        <v>411</v>
      </c>
      <c r="F156" s="79" t="s">
        <v>50</v>
      </c>
      <c r="G156" s="79" t="s">
        <v>50</v>
      </c>
      <c r="H156" s="80" t="s">
        <v>50</v>
      </c>
      <c r="I156" s="79" t="s">
        <v>51</v>
      </c>
      <c r="J156" s="79" t="s">
        <v>51</v>
      </c>
      <c r="K156" s="80" t="s">
        <v>51</v>
      </c>
      <c r="L156" s="79"/>
      <c r="M156" s="79"/>
      <c r="N156" s="80"/>
      <c r="O156" s="79"/>
      <c r="P156" s="79"/>
      <c r="Q156" s="80"/>
    </row>
    <row r="157" spans="1:17" ht="60" customHeight="1">
      <c r="A157" s="81">
        <v>23</v>
      </c>
      <c r="B157" s="82"/>
      <c r="C157" s="104" t="s">
        <v>424</v>
      </c>
      <c r="D157" s="104" t="s">
        <v>165</v>
      </c>
      <c r="E157" s="84" t="s">
        <v>411</v>
      </c>
      <c r="F157" s="85"/>
      <c r="G157" s="86" t="s">
        <v>431</v>
      </c>
      <c r="H157" s="87" t="s">
        <v>431</v>
      </c>
      <c r="I157" s="85"/>
      <c r="J157" s="86"/>
      <c r="K157" s="87"/>
      <c r="L157" s="86"/>
      <c r="M157" s="86"/>
      <c r="N157" s="87"/>
      <c r="O157" s="86"/>
      <c r="P157" s="86"/>
      <c r="Q157" s="87"/>
    </row>
    <row r="158" spans="1:17" ht="45" customHeight="1">
      <c r="A158" s="81">
        <v>23</v>
      </c>
      <c r="B158" s="82"/>
      <c r="C158" s="104" t="s">
        <v>424</v>
      </c>
      <c r="D158" s="104" t="s">
        <v>165</v>
      </c>
      <c r="E158" s="84" t="s">
        <v>411</v>
      </c>
      <c r="F158" s="85"/>
      <c r="G158" s="85"/>
      <c r="H158" s="88"/>
      <c r="I158" s="85"/>
      <c r="J158" s="85"/>
      <c r="K158" s="88"/>
      <c r="L158" s="86"/>
      <c r="M158" s="86"/>
      <c r="N158" s="87"/>
      <c r="O158" s="86"/>
      <c r="P158" s="86"/>
      <c r="Q158" s="87"/>
    </row>
    <row r="159" spans="1:17" ht="14.45" customHeight="1">
      <c r="A159" s="81">
        <v>23</v>
      </c>
      <c r="B159" s="82"/>
      <c r="C159" s="104" t="s">
        <v>424</v>
      </c>
      <c r="D159" s="104" t="s">
        <v>165</v>
      </c>
      <c r="E159" s="84" t="s">
        <v>411</v>
      </c>
      <c r="F159" s="89">
        <v>37</v>
      </c>
      <c r="G159" s="89">
        <v>130</v>
      </c>
      <c r="H159" s="90">
        <v>11</v>
      </c>
      <c r="I159" s="89">
        <v>52</v>
      </c>
      <c r="J159" s="89">
        <v>181</v>
      </c>
      <c r="K159" s="90">
        <v>15</v>
      </c>
      <c r="L159" s="86"/>
      <c r="M159" s="86"/>
      <c r="N159" s="87"/>
      <c r="O159" s="86"/>
      <c r="P159" s="86"/>
      <c r="Q159" s="87"/>
    </row>
    <row r="160" spans="1:17" ht="45" customHeight="1">
      <c r="A160" s="81">
        <v>23</v>
      </c>
      <c r="B160" s="82"/>
      <c r="C160" s="104" t="s">
        <v>424</v>
      </c>
      <c r="D160" s="104" t="s">
        <v>165</v>
      </c>
      <c r="E160" s="84" t="s">
        <v>411</v>
      </c>
      <c r="F160" s="85"/>
      <c r="G160" s="85"/>
      <c r="H160" s="88"/>
      <c r="I160" s="85"/>
      <c r="J160" s="85"/>
      <c r="K160" s="88"/>
      <c r="L160" s="86"/>
      <c r="M160" s="86"/>
      <c r="N160" s="87"/>
      <c r="O160" s="86"/>
      <c r="P160" s="86"/>
      <c r="Q160" s="87"/>
    </row>
    <row r="161" spans="1:17" ht="14.45" customHeight="1">
      <c r="A161" s="81">
        <v>23</v>
      </c>
      <c r="B161" s="82"/>
      <c r="C161" s="104" t="s">
        <v>424</v>
      </c>
      <c r="D161" s="104" t="s">
        <v>165</v>
      </c>
      <c r="E161" s="84" t="s">
        <v>411</v>
      </c>
      <c r="F161" s="89">
        <v>43</v>
      </c>
      <c r="G161" s="85"/>
      <c r="H161" s="88"/>
      <c r="I161" s="89">
        <v>60</v>
      </c>
      <c r="J161" s="85"/>
      <c r="K161" s="88"/>
      <c r="L161" s="86"/>
      <c r="M161" s="86"/>
      <c r="N161" s="87"/>
      <c r="O161" s="86"/>
      <c r="P161" s="86"/>
      <c r="Q161" s="87"/>
    </row>
    <row r="162" spans="1:17" ht="24" customHeight="1">
      <c r="A162" s="91">
        <v>23</v>
      </c>
      <c r="B162" s="92"/>
      <c r="C162" s="105" t="s">
        <v>424</v>
      </c>
      <c r="D162" s="105" t="s">
        <v>165</v>
      </c>
      <c r="E162" s="94" t="s">
        <v>411</v>
      </c>
      <c r="F162" s="95" t="s">
        <v>56</v>
      </c>
      <c r="G162" s="96">
        <v>25000</v>
      </c>
      <c r="H162" s="97">
        <v>25000</v>
      </c>
      <c r="I162" s="95" t="s">
        <v>56</v>
      </c>
      <c r="J162" s="96">
        <v>35000</v>
      </c>
      <c r="K162" s="97">
        <v>35000</v>
      </c>
      <c r="L162" s="98"/>
      <c r="M162" s="98"/>
      <c r="N162" s="99"/>
      <c r="O162" s="98"/>
      <c r="P162" s="98"/>
      <c r="Q162" s="99"/>
    </row>
    <row r="163" spans="1:17" ht="14.45" customHeight="1">
      <c r="A163" s="75">
        <v>24</v>
      </c>
      <c r="B163" s="76"/>
      <c r="C163" s="103" t="s">
        <v>426</v>
      </c>
      <c r="D163" s="103" t="s">
        <v>165</v>
      </c>
      <c r="E163" s="78" t="s">
        <v>401</v>
      </c>
      <c r="F163" s="79" t="s">
        <v>50</v>
      </c>
      <c r="G163" s="79" t="s">
        <v>50</v>
      </c>
      <c r="H163" s="80" t="s">
        <v>50</v>
      </c>
      <c r="I163" s="79" t="s">
        <v>51</v>
      </c>
      <c r="J163" s="79" t="s">
        <v>51</v>
      </c>
      <c r="K163" s="80" t="s">
        <v>51</v>
      </c>
      <c r="L163" s="79"/>
      <c r="M163" s="79"/>
      <c r="N163" s="80"/>
      <c r="O163" s="79"/>
      <c r="P163" s="79"/>
      <c r="Q163" s="80"/>
    </row>
    <row r="164" spans="1:17" ht="60" customHeight="1">
      <c r="A164" s="81">
        <v>24</v>
      </c>
      <c r="B164" s="82"/>
      <c r="C164" s="104" t="s">
        <v>426</v>
      </c>
      <c r="D164" s="104" t="s">
        <v>165</v>
      </c>
      <c r="E164" s="84" t="s">
        <v>401</v>
      </c>
      <c r="F164" s="85"/>
      <c r="G164" s="86" t="s">
        <v>432</v>
      </c>
      <c r="H164" s="87" t="s">
        <v>432</v>
      </c>
      <c r="I164" s="85"/>
      <c r="J164" s="86"/>
      <c r="K164" s="87"/>
      <c r="L164" s="86"/>
      <c r="M164" s="86"/>
      <c r="N164" s="87"/>
      <c r="O164" s="86"/>
      <c r="P164" s="86"/>
      <c r="Q164" s="87"/>
    </row>
    <row r="165" spans="1:17" ht="45" customHeight="1">
      <c r="A165" s="81">
        <v>24</v>
      </c>
      <c r="B165" s="82"/>
      <c r="C165" s="104" t="s">
        <v>426</v>
      </c>
      <c r="D165" s="104" t="s">
        <v>165</v>
      </c>
      <c r="E165" s="84" t="s">
        <v>401</v>
      </c>
      <c r="F165" s="85"/>
      <c r="G165" s="85"/>
      <c r="H165" s="88"/>
      <c r="I165" s="85"/>
      <c r="J165" s="85"/>
      <c r="K165" s="88"/>
      <c r="L165" s="86"/>
      <c r="M165" s="86"/>
      <c r="N165" s="87"/>
      <c r="O165" s="86"/>
      <c r="P165" s="86"/>
      <c r="Q165" s="87"/>
    </row>
    <row r="166" spans="1:17" ht="14.45" customHeight="1">
      <c r="A166" s="81">
        <v>24</v>
      </c>
      <c r="B166" s="82"/>
      <c r="C166" s="104" t="s">
        <v>426</v>
      </c>
      <c r="D166" s="104" t="s">
        <v>165</v>
      </c>
      <c r="E166" s="84" t="s">
        <v>401</v>
      </c>
      <c r="F166" s="89">
        <v>45</v>
      </c>
      <c r="G166" s="89">
        <v>101</v>
      </c>
      <c r="H166" s="90">
        <v>13</v>
      </c>
      <c r="I166" s="89">
        <v>62</v>
      </c>
      <c r="J166" s="89">
        <v>141</v>
      </c>
      <c r="K166" s="90">
        <v>19</v>
      </c>
      <c r="L166" s="86"/>
      <c r="M166" s="86"/>
      <c r="N166" s="87"/>
      <c r="O166" s="86"/>
      <c r="P166" s="86"/>
      <c r="Q166" s="87"/>
    </row>
    <row r="167" spans="1:17" ht="45" customHeight="1">
      <c r="A167" s="81">
        <v>24</v>
      </c>
      <c r="B167" s="82"/>
      <c r="C167" s="104" t="s">
        <v>426</v>
      </c>
      <c r="D167" s="104" t="s">
        <v>165</v>
      </c>
      <c r="E167" s="84" t="s">
        <v>401</v>
      </c>
      <c r="F167" s="85"/>
      <c r="G167" s="85"/>
      <c r="H167" s="88"/>
      <c r="I167" s="85"/>
      <c r="J167" s="85"/>
      <c r="K167" s="88"/>
      <c r="L167" s="86"/>
      <c r="M167" s="86"/>
      <c r="N167" s="87"/>
      <c r="O167" s="86"/>
      <c r="P167" s="86"/>
      <c r="Q167" s="87"/>
    </row>
    <row r="168" spans="1:17" ht="14.45" customHeight="1">
      <c r="A168" s="81">
        <v>24</v>
      </c>
      <c r="B168" s="82"/>
      <c r="C168" s="104" t="s">
        <v>426</v>
      </c>
      <c r="D168" s="104" t="s">
        <v>165</v>
      </c>
      <c r="E168" s="84" t="s">
        <v>401</v>
      </c>
      <c r="F168" s="89">
        <v>43</v>
      </c>
      <c r="G168" s="85"/>
      <c r="H168" s="88"/>
      <c r="I168" s="89">
        <v>60</v>
      </c>
      <c r="J168" s="85"/>
      <c r="K168" s="88"/>
      <c r="L168" s="86"/>
      <c r="M168" s="86"/>
      <c r="N168" s="87"/>
      <c r="O168" s="86"/>
      <c r="P168" s="86"/>
      <c r="Q168" s="87"/>
    </row>
    <row r="169" spans="1:17" ht="24" customHeight="1">
      <c r="A169" s="91">
        <v>24</v>
      </c>
      <c r="B169" s="92"/>
      <c r="C169" s="105" t="s">
        <v>426</v>
      </c>
      <c r="D169" s="105" t="s">
        <v>165</v>
      </c>
      <c r="E169" s="94" t="s">
        <v>401</v>
      </c>
      <c r="F169" s="95" t="s">
        <v>56</v>
      </c>
      <c r="G169" s="96">
        <v>25000</v>
      </c>
      <c r="H169" s="97">
        <v>25000</v>
      </c>
      <c r="I169" s="95" t="s">
        <v>56</v>
      </c>
      <c r="J169" s="96">
        <v>35000</v>
      </c>
      <c r="K169" s="97">
        <v>35000</v>
      </c>
      <c r="L169" s="98"/>
      <c r="M169" s="98"/>
      <c r="N169" s="99"/>
      <c r="O169" s="98"/>
      <c r="P169" s="98"/>
      <c r="Q169" s="99"/>
    </row>
    <row r="170" spans="1:17" ht="14.45" customHeight="1">
      <c r="A170" s="75">
        <v>25</v>
      </c>
      <c r="B170" s="76"/>
      <c r="C170" s="103" t="s">
        <v>429</v>
      </c>
      <c r="D170" s="103" t="s">
        <v>165</v>
      </c>
      <c r="E170" s="78" t="s">
        <v>401</v>
      </c>
      <c r="F170" s="79" t="s">
        <v>50</v>
      </c>
      <c r="G170" s="79" t="s">
        <v>50</v>
      </c>
      <c r="H170" s="80" t="s">
        <v>50</v>
      </c>
      <c r="I170" s="79" t="s">
        <v>51</v>
      </c>
      <c r="J170" s="79" t="s">
        <v>51</v>
      </c>
      <c r="K170" s="80" t="s">
        <v>51</v>
      </c>
      <c r="L170" s="79"/>
      <c r="M170" s="79"/>
      <c r="N170" s="80"/>
      <c r="O170" s="79"/>
      <c r="P170" s="79"/>
      <c r="Q170" s="80"/>
    </row>
    <row r="171" spans="1:17" ht="60" customHeight="1">
      <c r="A171" s="81">
        <v>25</v>
      </c>
      <c r="B171" s="82"/>
      <c r="C171" s="104" t="s">
        <v>429</v>
      </c>
      <c r="D171" s="104" t="s">
        <v>165</v>
      </c>
      <c r="E171" s="84" t="s">
        <v>401</v>
      </c>
      <c r="F171" s="85"/>
      <c r="G171" s="86" t="s">
        <v>433</v>
      </c>
      <c r="H171" s="87" t="s">
        <v>433</v>
      </c>
      <c r="I171" s="85"/>
      <c r="J171" s="86"/>
      <c r="K171" s="87"/>
      <c r="L171" s="86"/>
      <c r="M171" s="86"/>
      <c r="N171" s="87"/>
      <c r="O171" s="86"/>
      <c r="P171" s="86"/>
      <c r="Q171" s="87"/>
    </row>
    <row r="172" spans="1:17" ht="45" customHeight="1">
      <c r="A172" s="81">
        <v>25</v>
      </c>
      <c r="B172" s="82"/>
      <c r="C172" s="104" t="s">
        <v>429</v>
      </c>
      <c r="D172" s="104" t="s">
        <v>165</v>
      </c>
      <c r="E172" s="84" t="s">
        <v>401</v>
      </c>
      <c r="F172" s="85"/>
      <c r="G172" s="85"/>
      <c r="H172" s="88"/>
      <c r="I172" s="85"/>
      <c r="J172" s="85"/>
      <c r="K172" s="88"/>
      <c r="L172" s="86"/>
      <c r="M172" s="86"/>
      <c r="N172" s="87"/>
      <c r="O172" s="86"/>
      <c r="P172" s="86"/>
      <c r="Q172" s="87"/>
    </row>
    <row r="173" spans="1:17" ht="14.45" customHeight="1">
      <c r="A173" s="81">
        <v>25</v>
      </c>
      <c r="B173" s="82"/>
      <c r="C173" s="104" t="s">
        <v>429</v>
      </c>
      <c r="D173" s="104" t="s">
        <v>165</v>
      </c>
      <c r="E173" s="84" t="s">
        <v>401</v>
      </c>
      <c r="F173" s="89">
        <v>52</v>
      </c>
      <c r="G173" s="89">
        <v>80</v>
      </c>
      <c r="H173" s="90">
        <v>16</v>
      </c>
      <c r="I173" s="89">
        <v>72</v>
      </c>
      <c r="J173" s="89">
        <v>111</v>
      </c>
      <c r="K173" s="90">
        <v>22</v>
      </c>
      <c r="L173" s="86"/>
      <c r="M173" s="86"/>
      <c r="N173" s="87"/>
      <c r="O173" s="86"/>
      <c r="P173" s="86"/>
      <c r="Q173" s="87"/>
    </row>
    <row r="174" spans="1:17" ht="45" customHeight="1">
      <c r="A174" s="81">
        <v>25</v>
      </c>
      <c r="B174" s="82"/>
      <c r="C174" s="104" t="s">
        <v>429</v>
      </c>
      <c r="D174" s="104" t="s">
        <v>165</v>
      </c>
      <c r="E174" s="84" t="s">
        <v>401</v>
      </c>
      <c r="F174" s="85"/>
      <c r="G174" s="85"/>
      <c r="H174" s="88"/>
      <c r="I174" s="85"/>
      <c r="J174" s="85"/>
      <c r="K174" s="88"/>
      <c r="L174" s="86"/>
      <c r="M174" s="86"/>
      <c r="N174" s="87"/>
      <c r="O174" s="86"/>
      <c r="P174" s="86"/>
      <c r="Q174" s="87"/>
    </row>
    <row r="175" spans="1:17" ht="14.45" customHeight="1">
      <c r="A175" s="81">
        <v>25</v>
      </c>
      <c r="B175" s="82"/>
      <c r="C175" s="104" t="s">
        <v>429</v>
      </c>
      <c r="D175" s="104" t="s">
        <v>165</v>
      </c>
      <c r="E175" s="84" t="s">
        <v>401</v>
      </c>
      <c r="F175" s="89">
        <v>39</v>
      </c>
      <c r="G175" s="85"/>
      <c r="H175" s="88"/>
      <c r="I175" s="89">
        <v>55</v>
      </c>
      <c r="J175" s="85"/>
      <c r="K175" s="88"/>
      <c r="L175" s="86"/>
      <c r="M175" s="86"/>
      <c r="N175" s="87"/>
      <c r="O175" s="86"/>
      <c r="P175" s="86"/>
      <c r="Q175" s="87"/>
    </row>
    <row r="176" spans="1:17" ht="24" customHeight="1">
      <c r="A176" s="91">
        <v>25</v>
      </c>
      <c r="B176" s="92"/>
      <c r="C176" s="105" t="s">
        <v>429</v>
      </c>
      <c r="D176" s="105" t="s">
        <v>165</v>
      </c>
      <c r="E176" s="94" t="s">
        <v>401</v>
      </c>
      <c r="F176" s="95" t="s">
        <v>56</v>
      </c>
      <c r="G176" s="96">
        <v>25000</v>
      </c>
      <c r="H176" s="97">
        <v>25000</v>
      </c>
      <c r="I176" s="95" t="s">
        <v>56</v>
      </c>
      <c r="J176" s="96">
        <v>35000</v>
      </c>
      <c r="K176" s="97">
        <v>35000</v>
      </c>
      <c r="L176" s="98"/>
      <c r="M176" s="98"/>
      <c r="N176" s="99"/>
      <c r="O176" s="98"/>
      <c r="P176" s="98"/>
      <c r="Q176" s="99"/>
    </row>
    <row r="177" spans="1:17" ht="14.45" customHeight="1">
      <c r="A177" s="75">
        <v>26</v>
      </c>
      <c r="B177" s="76"/>
      <c r="C177" s="103" t="s">
        <v>425</v>
      </c>
      <c r="D177" s="103" t="s">
        <v>165</v>
      </c>
      <c r="E177" s="78" t="s">
        <v>411</v>
      </c>
      <c r="F177" s="79" t="s">
        <v>50</v>
      </c>
      <c r="G177" s="79" t="s">
        <v>50</v>
      </c>
      <c r="H177" s="80" t="s">
        <v>50</v>
      </c>
      <c r="I177" s="79" t="s">
        <v>51</v>
      </c>
      <c r="J177" s="79" t="s">
        <v>51</v>
      </c>
      <c r="K177" s="80" t="s">
        <v>51</v>
      </c>
      <c r="L177" s="79"/>
      <c r="M177" s="79"/>
      <c r="N177" s="80"/>
      <c r="O177" s="79"/>
      <c r="P177" s="79"/>
      <c r="Q177" s="80"/>
    </row>
    <row r="178" spans="1:17" ht="60" customHeight="1">
      <c r="A178" s="81">
        <v>26</v>
      </c>
      <c r="B178" s="82"/>
      <c r="C178" s="104" t="s">
        <v>425</v>
      </c>
      <c r="D178" s="104" t="s">
        <v>165</v>
      </c>
      <c r="E178" s="84" t="s">
        <v>411</v>
      </c>
      <c r="F178" s="85"/>
      <c r="G178" s="86" t="s">
        <v>434</v>
      </c>
      <c r="H178" s="87" t="s">
        <v>434</v>
      </c>
      <c r="I178" s="85"/>
      <c r="J178" s="86"/>
      <c r="K178" s="87"/>
      <c r="L178" s="86"/>
      <c r="M178" s="86"/>
      <c r="N178" s="87"/>
      <c r="O178" s="86"/>
      <c r="P178" s="86"/>
      <c r="Q178" s="87"/>
    </row>
    <row r="179" spans="1:17" ht="45" customHeight="1">
      <c r="A179" s="81">
        <v>26</v>
      </c>
      <c r="B179" s="82"/>
      <c r="C179" s="104" t="s">
        <v>425</v>
      </c>
      <c r="D179" s="104" t="s">
        <v>165</v>
      </c>
      <c r="E179" s="84" t="s">
        <v>411</v>
      </c>
      <c r="F179" s="85"/>
      <c r="G179" s="85"/>
      <c r="H179" s="88"/>
      <c r="I179" s="85"/>
      <c r="J179" s="85"/>
      <c r="K179" s="88"/>
      <c r="L179" s="86"/>
      <c r="M179" s="86"/>
      <c r="N179" s="87"/>
      <c r="O179" s="86"/>
      <c r="P179" s="86"/>
      <c r="Q179" s="87"/>
    </row>
    <row r="180" spans="1:17" ht="14.45" customHeight="1">
      <c r="A180" s="81">
        <v>26</v>
      </c>
      <c r="B180" s="82"/>
      <c r="C180" s="104" t="s">
        <v>425</v>
      </c>
      <c r="D180" s="104" t="s">
        <v>165</v>
      </c>
      <c r="E180" s="84" t="s">
        <v>411</v>
      </c>
      <c r="F180" s="89">
        <v>37</v>
      </c>
      <c r="G180" s="89">
        <v>108</v>
      </c>
      <c r="H180" s="90">
        <v>11</v>
      </c>
      <c r="I180" s="89">
        <v>52</v>
      </c>
      <c r="J180" s="89">
        <v>151</v>
      </c>
      <c r="K180" s="90">
        <v>15</v>
      </c>
      <c r="L180" s="86"/>
      <c r="M180" s="86"/>
      <c r="N180" s="87"/>
      <c r="O180" s="86"/>
      <c r="P180" s="86"/>
      <c r="Q180" s="87"/>
    </row>
    <row r="181" spans="1:17" ht="45" customHeight="1">
      <c r="A181" s="81">
        <v>26</v>
      </c>
      <c r="B181" s="82"/>
      <c r="C181" s="104" t="s">
        <v>425</v>
      </c>
      <c r="D181" s="104" t="s">
        <v>165</v>
      </c>
      <c r="E181" s="84" t="s">
        <v>411</v>
      </c>
      <c r="F181" s="85"/>
      <c r="G181" s="85"/>
      <c r="H181" s="88"/>
      <c r="I181" s="85"/>
      <c r="J181" s="85"/>
      <c r="K181" s="88"/>
      <c r="L181" s="86"/>
      <c r="M181" s="86"/>
      <c r="N181" s="87"/>
      <c r="O181" s="86"/>
      <c r="P181" s="86"/>
      <c r="Q181" s="87"/>
    </row>
    <row r="182" spans="1:17" ht="14.45" customHeight="1">
      <c r="A182" s="81">
        <v>26</v>
      </c>
      <c r="B182" s="82"/>
      <c r="C182" s="104" t="s">
        <v>425</v>
      </c>
      <c r="D182" s="104" t="s">
        <v>165</v>
      </c>
      <c r="E182" s="84" t="s">
        <v>411</v>
      </c>
      <c r="F182" s="89">
        <v>54</v>
      </c>
      <c r="G182" s="85"/>
      <c r="H182" s="88"/>
      <c r="I182" s="89">
        <v>75</v>
      </c>
      <c r="J182" s="85"/>
      <c r="K182" s="88"/>
      <c r="L182" s="86"/>
      <c r="M182" s="86"/>
      <c r="N182" s="87"/>
      <c r="O182" s="86"/>
      <c r="P182" s="86"/>
      <c r="Q182" s="87"/>
    </row>
    <row r="183" spans="1:17" ht="24" customHeight="1">
      <c r="A183" s="91">
        <v>26</v>
      </c>
      <c r="B183" s="92"/>
      <c r="C183" s="105" t="s">
        <v>425</v>
      </c>
      <c r="D183" s="105" t="s">
        <v>165</v>
      </c>
      <c r="E183" s="94" t="s">
        <v>411</v>
      </c>
      <c r="F183" s="95" t="s">
        <v>56</v>
      </c>
      <c r="G183" s="96">
        <v>25000</v>
      </c>
      <c r="H183" s="97">
        <v>25000</v>
      </c>
      <c r="I183" s="95" t="s">
        <v>56</v>
      </c>
      <c r="J183" s="96">
        <v>35000</v>
      </c>
      <c r="K183" s="97">
        <v>35000</v>
      </c>
      <c r="L183" s="98"/>
      <c r="M183" s="98"/>
      <c r="N183" s="99"/>
      <c r="O183" s="98"/>
      <c r="P183" s="98"/>
      <c r="Q183" s="99"/>
    </row>
    <row r="184" spans="1:17" ht="14.45" customHeight="1">
      <c r="A184" s="75">
        <v>27</v>
      </c>
      <c r="B184" s="76"/>
      <c r="C184" s="103" t="s">
        <v>427</v>
      </c>
      <c r="D184" s="103" t="s">
        <v>165</v>
      </c>
      <c r="E184" s="78" t="s">
        <v>401</v>
      </c>
      <c r="F184" s="79" t="s">
        <v>50</v>
      </c>
      <c r="G184" s="79" t="s">
        <v>50</v>
      </c>
      <c r="H184" s="80" t="s">
        <v>50</v>
      </c>
      <c r="I184" s="79" t="s">
        <v>51</v>
      </c>
      <c r="J184" s="79" t="s">
        <v>51</v>
      </c>
      <c r="K184" s="80" t="s">
        <v>51</v>
      </c>
      <c r="L184" s="79"/>
      <c r="M184" s="79"/>
      <c r="N184" s="80"/>
      <c r="O184" s="79"/>
      <c r="P184" s="79"/>
      <c r="Q184" s="80"/>
    </row>
    <row r="185" spans="1:17" ht="60" customHeight="1">
      <c r="A185" s="81">
        <v>27</v>
      </c>
      <c r="B185" s="82"/>
      <c r="C185" s="104" t="s">
        <v>427</v>
      </c>
      <c r="D185" s="104" t="s">
        <v>165</v>
      </c>
      <c r="E185" s="84" t="s">
        <v>401</v>
      </c>
      <c r="F185" s="85"/>
      <c r="G185" s="86" t="s">
        <v>435</v>
      </c>
      <c r="H185" s="87" t="s">
        <v>435</v>
      </c>
      <c r="I185" s="85"/>
      <c r="J185" s="86"/>
      <c r="K185" s="87"/>
      <c r="L185" s="86"/>
      <c r="M185" s="86"/>
      <c r="N185" s="87"/>
      <c r="O185" s="86"/>
      <c r="P185" s="86"/>
      <c r="Q185" s="87"/>
    </row>
    <row r="186" spans="1:17" ht="45" customHeight="1">
      <c r="A186" s="81">
        <v>27</v>
      </c>
      <c r="B186" s="82"/>
      <c r="C186" s="104" t="s">
        <v>427</v>
      </c>
      <c r="D186" s="104" t="s">
        <v>165</v>
      </c>
      <c r="E186" s="84" t="s">
        <v>401</v>
      </c>
      <c r="F186" s="85"/>
      <c r="G186" s="85"/>
      <c r="H186" s="88"/>
      <c r="I186" s="85"/>
      <c r="J186" s="85"/>
      <c r="K186" s="88"/>
      <c r="L186" s="86"/>
      <c r="M186" s="86"/>
      <c r="N186" s="87"/>
      <c r="O186" s="86"/>
      <c r="P186" s="86"/>
      <c r="Q186" s="87"/>
    </row>
    <row r="187" spans="1:17" ht="14.45" customHeight="1">
      <c r="A187" s="81">
        <v>27</v>
      </c>
      <c r="B187" s="82"/>
      <c r="C187" s="104" t="s">
        <v>427</v>
      </c>
      <c r="D187" s="104" t="s">
        <v>165</v>
      </c>
      <c r="E187" s="84" t="s">
        <v>401</v>
      </c>
      <c r="F187" s="89">
        <v>45</v>
      </c>
      <c r="G187" s="89">
        <v>87</v>
      </c>
      <c r="H187" s="90">
        <v>13</v>
      </c>
      <c r="I187" s="89">
        <v>62</v>
      </c>
      <c r="J187" s="89">
        <v>121</v>
      </c>
      <c r="K187" s="90">
        <v>19</v>
      </c>
      <c r="L187" s="86"/>
      <c r="M187" s="86"/>
      <c r="N187" s="87"/>
      <c r="O187" s="86"/>
      <c r="P187" s="86"/>
      <c r="Q187" s="87"/>
    </row>
    <row r="188" spans="1:17" ht="45" customHeight="1">
      <c r="A188" s="81">
        <v>27</v>
      </c>
      <c r="B188" s="82"/>
      <c r="C188" s="104" t="s">
        <v>427</v>
      </c>
      <c r="D188" s="104" t="s">
        <v>165</v>
      </c>
      <c r="E188" s="84" t="s">
        <v>401</v>
      </c>
      <c r="F188" s="85"/>
      <c r="G188" s="85"/>
      <c r="H188" s="88"/>
      <c r="I188" s="85"/>
      <c r="J188" s="85"/>
      <c r="K188" s="88"/>
      <c r="L188" s="86"/>
      <c r="M188" s="86"/>
      <c r="N188" s="87"/>
      <c r="O188" s="86"/>
      <c r="P188" s="86"/>
      <c r="Q188" s="87"/>
    </row>
    <row r="189" spans="1:17" ht="14.45" customHeight="1">
      <c r="A189" s="81">
        <v>27</v>
      </c>
      <c r="B189" s="82"/>
      <c r="C189" s="104" t="s">
        <v>427</v>
      </c>
      <c r="D189" s="104" t="s">
        <v>165</v>
      </c>
      <c r="E189" s="84" t="s">
        <v>401</v>
      </c>
      <c r="F189" s="89">
        <v>50</v>
      </c>
      <c r="G189" s="85"/>
      <c r="H189" s="88"/>
      <c r="I189" s="89">
        <v>70</v>
      </c>
      <c r="J189" s="85"/>
      <c r="K189" s="88"/>
      <c r="L189" s="86"/>
      <c r="M189" s="86"/>
      <c r="N189" s="87"/>
      <c r="O189" s="86"/>
      <c r="P189" s="86"/>
      <c r="Q189" s="87"/>
    </row>
    <row r="190" spans="1:17" ht="24" customHeight="1">
      <c r="A190" s="91">
        <v>27</v>
      </c>
      <c r="B190" s="92"/>
      <c r="C190" s="105" t="s">
        <v>427</v>
      </c>
      <c r="D190" s="105" t="s">
        <v>165</v>
      </c>
      <c r="E190" s="94" t="s">
        <v>401</v>
      </c>
      <c r="F190" s="95" t="s">
        <v>56</v>
      </c>
      <c r="G190" s="96">
        <v>25000</v>
      </c>
      <c r="H190" s="97">
        <v>25000</v>
      </c>
      <c r="I190" s="95" t="s">
        <v>56</v>
      </c>
      <c r="J190" s="96">
        <v>35000</v>
      </c>
      <c r="K190" s="97">
        <v>35000</v>
      </c>
      <c r="L190" s="98"/>
      <c r="M190" s="98"/>
      <c r="N190" s="99"/>
      <c r="O190" s="98"/>
      <c r="P190" s="98"/>
      <c r="Q190" s="99"/>
    </row>
    <row r="191" spans="1:17" ht="14.45" customHeight="1">
      <c r="A191" s="75">
        <v>28</v>
      </c>
      <c r="B191" s="76"/>
      <c r="C191" s="103" t="s">
        <v>430</v>
      </c>
      <c r="D191" s="103" t="s">
        <v>165</v>
      </c>
      <c r="E191" s="78" t="s">
        <v>401</v>
      </c>
      <c r="F191" s="79" t="s">
        <v>50</v>
      </c>
      <c r="G191" s="79" t="s">
        <v>50</v>
      </c>
      <c r="H191" s="80" t="s">
        <v>50</v>
      </c>
      <c r="I191" s="79" t="s">
        <v>51</v>
      </c>
      <c r="J191" s="79" t="s">
        <v>51</v>
      </c>
      <c r="K191" s="80" t="s">
        <v>51</v>
      </c>
      <c r="L191" s="79"/>
      <c r="M191" s="79"/>
      <c r="N191" s="80"/>
      <c r="O191" s="79"/>
      <c r="P191" s="79"/>
      <c r="Q191" s="80"/>
    </row>
    <row r="192" spans="1:17" ht="60" customHeight="1">
      <c r="A192" s="81">
        <v>28</v>
      </c>
      <c r="B192" s="82"/>
      <c r="C192" s="104" t="s">
        <v>430</v>
      </c>
      <c r="D192" s="104" t="s">
        <v>165</v>
      </c>
      <c r="E192" s="84" t="s">
        <v>401</v>
      </c>
      <c r="F192" s="85"/>
      <c r="G192" s="86" t="s">
        <v>436</v>
      </c>
      <c r="H192" s="87" t="s">
        <v>436</v>
      </c>
      <c r="I192" s="85"/>
      <c r="J192" s="86"/>
      <c r="K192" s="87"/>
      <c r="L192" s="86"/>
      <c r="M192" s="86"/>
      <c r="N192" s="87"/>
      <c r="O192" s="86"/>
      <c r="P192" s="86"/>
      <c r="Q192" s="87"/>
    </row>
    <row r="193" spans="1:17" ht="45" customHeight="1">
      <c r="A193" s="81">
        <v>28</v>
      </c>
      <c r="B193" s="82"/>
      <c r="C193" s="104" t="s">
        <v>430</v>
      </c>
      <c r="D193" s="104" t="s">
        <v>165</v>
      </c>
      <c r="E193" s="84" t="s">
        <v>401</v>
      </c>
      <c r="F193" s="85"/>
      <c r="G193" s="85"/>
      <c r="H193" s="88"/>
      <c r="I193" s="85"/>
      <c r="J193" s="85"/>
      <c r="K193" s="88"/>
      <c r="L193" s="86"/>
      <c r="M193" s="86"/>
      <c r="N193" s="87"/>
      <c r="O193" s="86"/>
      <c r="P193" s="86"/>
      <c r="Q193" s="87"/>
    </row>
    <row r="194" spans="1:17" ht="14.45" customHeight="1">
      <c r="A194" s="81">
        <v>28</v>
      </c>
      <c r="B194" s="82"/>
      <c r="C194" s="104" t="s">
        <v>430</v>
      </c>
      <c r="D194" s="104" t="s">
        <v>165</v>
      </c>
      <c r="E194" s="84" t="s">
        <v>401</v>
      </c>
      <c r="F194" s="89">
        <v>41</v>
      </c>
      <c r="G194" s="89">
        <v>80</v>
      </c>
      <c r="H194" s="90">
        <v>16</v>
      </c>
      <c r="I194" s="89">
        <v>57</v>
      </c>
      <c r="J194" s="89">
        <v>111</v>
      </c>
      <c r="K194" s="90">
        <v>22</v>
      </c>
      <c r="L194" s="86"/>
      <c r="M194" s="86"/>
      <c r="N194" s="87"/>
      <c r="O194" s="86"/>
      <c r="P194" s="86"/>
      <c r="Q194" s="87"/>
    </row>
    <row r="195" spans="1:17" ht="45" customHeight="1">
      <c r="A195" s="81">
        <v>28</v>
      </c>
      <c r="B195" s="82"/>
      <c r="C195" s="104" t="s">
        <v>430</v>
      </c>
      <c r="D195" s="104" t="s">
        <v>165</v>
      </c>
      <c r="E195" s="84" t="s">
        <v>401</v>
      </c>
      <c r="F195" s="85"/>
      <c r="G195" s="85"/>
      <c r="H195" s="88"/>
      <c r="I195" s="85"/>
      <c r="J195" s="85"/>
      <c r="K195" s="88"/>
      <c r="L195" s="86"/>
      <c r="M195" s="86"/>
      <c r="N195" s="87"/>
      <c r="O195" s="86"/>
      <c r="P195" s="86"/>
      <c r="Q195" s="87"/>
    </row>
    <row r="196" spans="1:17" ht="14.45" customHeight="1">
      <c r="A196" s="81">
        <v>28</v>
      </c>
      <c r="B196" s="82"/>
      <c r="C196" s="104" t="s">
        <v>430</v>
      </c>
      <c r="D196" s="104" t="s">
        <v>165</v>
      </c>
      <c r="E196" s="84" t="s">
        <v>401</v>
      </c>
      <c r="F196" s="89">
        <v>50</v>
      </c>
      <c r="G196" s="85"/>
      <c r="H196" s="88"/>
      <c r="I196" s="89">
        <v>70</v>
      </c>
      <c r="J196" s="85"/>
      <c r="K196" s="88"/>
      <c r="L196" s="86"/>
      <c r="M196" s="86"/>
      <c r="N196" s="87"/>
      <c r="O196" s="86"/>
      <c r="P196" s="86"/>
      <c r="Q196" s="87"/>
    </row>
    <row r="197" spans="1:17" ht="24" customHeight="1">
      <c r="A197" s="91">
        <v>28</v>
      </c>
      <c r="B197" s="92"/>
      <c r="C197" s="105" t="s">
        <v>430</v>
      </c>
      <c r="D197" s="105" t="s">
        <v>165</v>
      </c>
      <c r="E197" s="94" t="s">
        <v>401</v>
      </c>
      <c r="F197" s="95" t="s">
        <v>56</v>
      </c>
      <c r="G197" s="96">
        <v>25000</v>
      </c>
      <c r="H197" s="97">
        <v>25000</v>
      </c>
      <c r="I197" s="95" t="s">
        <v>56</v>
      </c>
      <c r="J197" s="96">
        <v>35000</v>
      </c>
      <c r="K197" s="97">
        <v>35000</v>
      </c>
      <c r="L197" s="98"/>
      <c r="M197" s="98"/>
      <c r="N197" s="99"/>
      <c r="O197" s="98"/>
      <c r="P197" s="98"/>
      <c r="Q197" s="99"/>
    </row>
    <row r="198" spans="1:17" ht="14.45" customHeight="1">
      <c r="A198" s="75">
        <v>29</v>
      </c>
      <c r="B198" s="76"/>
      <c r="C198" s="103" t="s">
        <v>428</v>
      </c>
      <c r="D198" s="103" t="s">
        <v>165</v>
      </c>
      <c r="E198" s="78" t="s">
        <v>411</v>
      </c>
      <c r="F198" s="79" t="s">
        <v>50</v>
      </c>
      <c r="G198" s="79" t="s">
        <v>50</v>
      </c>
      <c r="H198" s="80" t="s">
        <v>50</v>
      </c>
      <c r="I198" s="79" t="s">
        <v>51</v>
      </c>
      <c r="J198" s="79" t="s">
        <v>51</v>
      </c>
      <c r="K198" s="80" t="s">
        <v>51</v>
      </c>
      <c r="L198" s="79"/>
      <c r="M198" s="79"/>
      <c r="N198" s="80"/>
      <c r="O198" s="79"/>
      <c r="P198" s="79"/>
      <c r="Q198" s="80"/>
    </row>
    <row r="199" spans="1:17" ht="60" customHeight="1">
      <c r="A199" s="81">
        <v>29</v>
      </c>
      <c r="B199" s="82"/>
      <c r="C199" s="104" t="s">
        <v>428</v>
      </c>
      <c r="D199" s="104" t="s">
        <v>165</v>
      </c>
      <c r="E199" s="84" t="s">
        <v>411</v>
      </c>
      <c r="F199" s="85"/>
      <c r="G199" s="86" t="s">
        <v>437</v>
      </c>
      <c r="H199" s="87" t="s">
        <v>437</v>
      </c>
      <c r="I199" s="85"/>
      <c r="J199" s="86"/>
      <c r="K199" s="87"/>
      <c r="L199" s="86"/>
      <c r="M199" s="86"/>
      <c r="N199" s="87"/>
      <c r="O199" s="86"/>
      <c r="P199" s="86"/>
      <c r="Q199" s="87"/>
    </row>
    <row r="200" spans="1:17" ht="45" customHeight="1">
      <c r="A200" s="81">
        <v>29</v>
      </c>
      <c r="B200" s="82"/>
      <c r="C200" s="104" t="s">
        <v>428</v>
      </c>
      <c r="D200" s="104" t="s">
        <v>165</v>
      </c>
      <c r="E200" s="84" t="s">
        <v>411</v>
      </c>
      <c r="F200" s="85"/>
      <c r="G200" s="85"/>
      <c r="H200" s="88"/>
      <c r="I200" s="85"/>
      <c r="J200" s="85"/>
      <c r="K200" s="88"/>
      <c r="L200" s="86"/>
      <c r="M200" s="86"/>
      <c r="N200" s="87"/>
      <c r="O200" s="86"/>
      <c r="P200" s="86"/>
      <c r="Q200" s="87"/>
    </row>
    <row r="201" spans="1:17" ht="14.45" customHeight="1">
      <c r="A201" s="81">
        <v>29</v>
      </c>
      <c r="B201" s="82"/>
      <c r="C201" s="104" t="s">
        <v>428</v>
      </c>
      <c r="D201" s="104" t="s">
        <v>165</v>
      </c>
      <c r="E201" s="84" t="s">
        <v>411</v>
      </c>
      <c r="F201" s="89">
        <v>37</v>
      </c>
      <c r="G201" s="89">
        <v>87</v>
      </c>
      <c r="H201" s="90">
        <v>11</v>
      </c>
      <c r="I201" s="89">
        <v>52</v>
      </c>
      <c r="J201" s="89">
        <v>121</v>
      </c>
      <c r="K201" s="90">
        <v>15</v>
      </c>
      <c r="L201" s="86"/>
      <c r="M201" s="86"/>
      <c r="N201" s="87"/>
      <c r="O201" s="86"/>
      <c r="P201" s="86"/>
      <c r="Q201" s="87"/>
    </row>
    <row r="202" spans="1:17" ht="45" customHeight="1">
      <c r="A202" s="81">
        <v>29</v>
      </c>
      <c r="B202" s="82"/>
      <c r="C202" s="104" t="s">
        <v>428</v>
      </c>
      <c r="D202" s="104" t="s">
        <v>165</v>
      </c>
      <c r="E202" s="84" t="s">
        <v>411</v>
      </c>
      <c r="F202" s="85"/>
      <c r="G202" s="85"/>
      <c r="H202" s="88"/>
      <c r="I202" s="85"/>
      <c r="J202" s="85"/>
      <c r="K202" s="88"/>
      <c r="L202" s="86"/>
      <c r="M202" s="86"/>
      <c r="N202" s="87"/>
      <c r="O202" s="86"/>
      <c r="P202" s="86"/>
      <c r="Q202" s="87"/>
    </row>
    <row r="203" spans="1:17" ht="14.45" customHeight="1">
      <c r="A203" s="81">
        <v>29</v>
      </c>
      <c r="B203" s="82"/>
      <c r="C203" s="104" t="s">
        <v>428</v>
      </c>
      <c r="D203" s="104" t="s">
        <v>165</v>
      </c>
      <c r="E203" s="84" t="s">
        <v>411</v>
      </c>
      <c r="F203" s="89">
        <v>64</v>
      </c>
      <c r="G203" s="85"/>
      <c r="H203" s="88"/>
      <c r="I203" s="89">
        <v>90</v>
      </c>
      <c r="J203" s="85"/>
      <c r="K203" s="88"/>
      <c r="L203" s="86"/>
      <c r="M203" s="86"/>
      <c r="N203" s="87"/>
      <c r="O203" s="86"/>
      <c r="P203" s="86"/>
      <c r="Q203" s="87"/>
    </row>
    <row r="204" spans="1:17" ht="24" customHeight="1">
      <c r="A204" s="91">
        <v>29</v>
      </c>
      <c r="B204" s="92"/>
      <c r="C204" s="105" t="s">
        <v>428</v>
      </c>
      <c r="D204" s="105" t="s">
        <v>165</v>
      </c>
      <c r="E204" s="94" t="s">
        <v>411</v>
      </c>
      <c r="F204" s="95" t="s">
        <v>56</v>
      </c>
      <c r="G204" s="96">
        <v>25000</v>
      </c>
      <c r="H204" s="97">
        <v>25000</v>
      </c>
      <c r="I204" s="95" t="s">
        <v>56</v>
      </c>
      <c r="J204" s="96">
        <v>35000</v>
      </c>
      <c r="K204" s="97">
        <v>35000</v>
      </c>
      <c r="L204" s="98"/>
      <c r="M204" s="98"/>
      <c r="N204" s="99"/>
      <c r="O204" s="98"/>
      <c r="P204" s="98"/>
      <c r="Q204" s="99"/>
    </row>
    <row r="205" spans="1:17" ht="14.45" customHeight="1">
      <c r="A205" s="75">
        <v>30</v>
      </c>
      <c r="B205" s="76"/>
      <c r="C205" s="106" t="s">
        <v>436</v>
      </c>
      <c r="D205" s="106" t="s">
        <v>180</v>
      </c>
      <c r="E205" s="78" t="s">
        <v>401</v>
      </c>
      <c r="F205" s="79" t="s">
        <v>50</v>
      </c>
      <c r="G205" s="79" t="s">
        <v>50</v>
      </c>
      <c r="H205" s="80" t="s">
        <v>50</v>
      </c>
      <c r="I205" s="79"/>
      <c r="J205" s="79"/>
      <c r="K205" s="80"/>
      <c r="L205" s="79"/>
      <c r="M205" s="79"/>
      <c r="N205" s="80"/>
      <c r="O205" s="79"/>
      <c r="P205" s="79"/>
      <c r="Q205" s="80"/>
    </row>
    <row r="206" spans="1:17" ht="60" customHeight="1">
      <c r="A206" s="81">
        <v>30</v>
      </c>
      <c r="B206" s="82"/>
      <c r="C206" s="107" t="s">
        <v>436</v>
      </c>
      <c r="D206" s="107" t="s">
        <v>180</v>
      </c>
      <c r="E206" s="84" t="s">
        <v>401</v>
      </c>
      <c r="F206" s="85"/>
      <c r="G206" s="86"/>
      <c r="H206" s="87"/>
      <c r="I206" s="86"/>
      <c r="J206" s="86"/>
      <c r="K206" s="87"/>
      <c r="L206" s="86"/>
      <c r="M206" s="86"/>
      <c r="N206" s="87"/>
      <c r="O206" s="86"/>
      <c r="P206" s="86"/>
      <c r="Q206" s="87"/>
    </row>
    <row r="207" spans="1:17" ht="45" customHeight="1">
      <c r="A207" s="81">
        <v>30</v>
      </c>
      <c r="B207" s="82"/>
      <c r="C207" s="107" t="s">
        <v>436</v>
      </c>
      <c r="D207" s="107" t="s">
        <v>180</v>
      </c>
      <c r="E207" s="84" t="s">
        <v>401</v>
      </c>
      <c r="F207" s="85"/>
      <c r="G207" s="85"/>
      <c r="H207" s="88"/>
      <c r="I207" s="86"/>
      <c r="J207" s="86"/>
      <c r="K207" s="87"/>
      <c r="L207" s="86"/>
      <c r="M207" s="86"/>
      <c r="N207" s="87"/>
      <c r="O207" s="86"/>
      <c r="P207" s="86"/>
      <c r="Q207" s="87"/>
    </row>
    <row r="208" spans="1:17" ht="14.45" customHeight="1">
      <c r="A208" s="81">
        <v>30</v>
      </c>
      <c r="B208" s="82"/>
      <c r="C208" s="107" t="s">
        <v>436</v>
      </c>
      <c r="D208" s="107" t="s">
        <v>180</v>
      </c>
      <c r="E208" s="84" t="s">
        <v>401</v>
      </c>
      <c r="F208" s="89">
        <v>48</v>
      </c>
      <c r="G208" s="89">
        <v>29</v>
      </c>
      <c r="H208" s="90">
        <v>65</v>
      </c>
      <c r="I208" s="86"/>
      <c r="J208" s="86"/>
      <c r="K208" s="87"/>
      <c r="L208" s="86"/>
      <c r="M208" s="86"/>
      <c r="N208" s="87"/>
      <c r="O208" s="86"/>
      <c r="P208" s="86"/>
      <c r="Q208" s="87"/>
    </row>
    <row r="209" spans="1:17" ht="45" customHeight="1">
      <c r="A209" s="81">
        <v>30</v>
      </c>
      <c r="B209" s="82"/>
      <c r="C209" s="107" t="s">
        <v>436</v>
      </c>
      <c r="D209" s="107" t="s">
        <v>180</v>
      </c>
      <c r="E209" s="84" t="s">
        <v>401</v>
      </c>
      <c r="F209" s="85"/>
      <c r="G209" s="85"/>
      <c r="H209" s="88"/>
      <c r="I209" s="86"/>
      <c r="J209" s="86"/>
      <c r="K209" s="87"/>
      <c r="L209" s="86"/>
      <c r="M209" s="86"/>
      <c r="N209" s="87"/>
      <c r="O209" s="86"/>
      <c r="P209" s="86"/>
      <c r="Q209" s="87"/>
    </row>
    <row r="210" spans="1:17" ht="14.45" customHeight="1">
      <c r="A210" s="81">
        <v>30</v>
      </c>
      <c r="B210" s="82"/>
      <c r="C210" s="107" t="s">
        <v>436</v>
      </c>
      <c r="D210" s="107" t="s">
        <v>180</v>
      </c>
      <c r="E210" s="84" t="s">
        <v>401</v>
      </c>
      <c r="F210" s="85"/>
      <c r="G210" s="85"/>
      <c r="H210" s="88"/>
      <c r="I210" s="86"/>
      <c r="J210" s="86"/>
      <c r="K210" s="87"/>
      <c r="L210" s="86"/>
      <c r="M210" s="86"/>
      <c r="N210" s="87"/>
      <c r="O210" s="86"/>
      <c r="P210" s="86"/>
      <c r="Q210" s="87"/>
    </row>
    <row r="211" spans="1:17" ht="24" customHeight="1">
      <c r="A211" s="91">
        <v>30</v>
      </c>
      <c r="B211" s="92"/>
      <c r="C211" s="108" t="s">
        <v>436</v>
      </c>
      <c r="D211" s="108" t="s">
        <v>180</v>
      </c>
      <c r="E211" s="94" t="s">
        <v>401</v>
      </c>
      <c r="F211" s="95" t="s">
        <v>56</v>
      </c>
      <c r="G211" s="96">
        <v>6600</v>
      </c>
      <c r="H211" s="97">
        <v>6600</v>
      </c>
      <c r="I211" s="98"/>
      <c r="J211" s="98"/>
      <c r="K211" s="99"/>
      <c r="L211" s="98"/>
      <c r="M211" s="98"/>
      <c r="N211" s="99"/>
      <c r="O211" s="98"/>
      <c r="P211" s="98"/>
      <c r="Q211" s="99"/>
    </row>
    <row r="212" spans="1:17" ht="14.45" customHeight="1">
      <c r="A212" s="75">
        <v>31</v>
      </c>
      <c r="B212" s="76"/>
      <c r="C212" s="106" t="s">
        <v>433</v>
      </c>
      <c r="D212" s="106" t="s">
        <v>180</v>
      </c>
      <c r="E212" s="78" t="s">
        <v>401</v>
      </c>
      <c r="F212" s="79" t="s">
        <v>50</v>
      </c>
      <c r="G212" s="79" t="s">
        <v>50</v>
      </c>
      <c r="H212" s="80" t="s">
        <v>50</v>
      </c>
      <c r="I212" s="79"/>
      <c r="J212" s="79"/>
      <c r="K212" s="80"/>
      <c r="L212" s="79"/>
      <c r="M212" s="79"/>
      <c r="N212" s="80"/>
      <c r="O212" s="79"/>
      <c r="P212" s="79"/>
      <c r="Q212" s="80"/>
    </row>
    <row r="213" spans="1:17" ht="60" customHeight="1">
      <c r="A213" s="81">
        <v>31</v>
      </c>
      <c r="B213" s="82"/>
      <c r="C213" s="107" t="s">
        <v>433</v>
      </c>
      <c r="D213" s="107" t="s">
        <v>180</v>
      </c>
      <c r="E213" s="84" t="s">
        <v>401</v>
      </c>
      <c r="F213" s="85"/>
      <c r="G213" s="86"/>
      <c r="H213" s="87"/>
      <c r="I213" s="86"/>
      <c r="J213" s="86"/>
      <c r="K213" s="87"/>
      <c r="L213" s="86"/>
      <c r="M213" s="86"/>
      <c r="N213" s="87"/>
      <c r="O213" s="86"/>
      <c r="P213" s="86"/>
      <c r="Q213" s="87"/>
    </row>
    <row r="214" spans="1:17" ht="45" customHeight="1">
      <c r="A214" s="81">
        <v>31</v>
      </c>
      <c r="B214" s="82"/>
      <c r="C214" s="107" t="s">
        <v>433</v>
      </c>
      <c r="D214" s="107" t="s">
        <v>180</v>
      </c>
      <c r="E214" s="84" t="s">
        <v>401</v>
      </c>
      <c r="F214" s="85"/>
      <c r="G214" s="85"/>
      <c r="H214" s="88"/>
      <c r="I214" s="86"/>
      <c r="J214" s="86"/>
      <c r="K214" s="87"/>
      <c r="L214" s="86"/>
      <c r="M214" s="86"/>
      <c r="N214" s="87"/>
      <c r="O214" s="86"/>
      <c r="P214" s="86"/>
      <c r="Q214" s="87"/>
    </row>
    <row r="215" spans="1:17" ht="14.45" customHeight="1">
      <c r="A215" s="81">
        <v>31</v>
      </c>
      <c r="B215" s="82"/>
      <c r="C215" s="107" t="s">
        <v>433</v>
      </c>
      <c r="D215" s="107" t="s">
        <v>180</v>
      </c>
      <c r="E215" s="84" t="s">
        <v>401</v>
      </c>
      <c r="F215" s="89">
        <v>52</v>
      </c>
      <c r="G215" s="89">
        <v>32</v>
      </c>
      <c r="H215" s="90">
        <v>58</v>
      </c>
      <c r="I215" s="86"/>
      <c r="J215" s="86"/>
      <c r="K215" s="87"/>
      <c r="L215" s="86"/>
      <c r="M215" s="86"/>
      <c r="N215" s="87"/>
      <c r="O215" s="86"/>
      <c r="P215" s="86"/>
      <c r="Q215" s="87"/>
    </row>
    <row r="216" spans="1:17" ht="45" customHeight="1">
      <c r="A216" s="81">
        <v>31</v>
      </c>
      <c r="B216" s="82"/>
      <c r="C216" s="107" t="s">
        <v>433</v>
      </c>
      <c r="D216" s="107" t="s">
        <v>180</v>
      </c>
      <c r="E216" s="84" t="s">
        <v>401</v>
      </c>
      <c r="F216" s="85"/>
      <c r="G216" s="85"/>
      <c r="H216" s="88"/>
      <c r="I216" s="86"/>
      <c r="J216" s="86"/>
      <c r="K216" s="87"/>
      <c r="L216" s="86"/>
      <c r="M216" s="86"/>
      <c r="N216" s="87"/>
      <c r="O216" s="86"/>
      <c r="P216" s="86"/>
      <c r="Q216" s="87"/>
    </row>
    <row r="217" spans="1:17" ht="14.45" customHeight="1">
      <c r="A217" s="81">
        <v>31</v>
      </c>
      <c r="B217" s="82"/>
      <c r="C217" s="107" t="s">
        <v>433</v>
      </c>
      <c r="D217" s="107" t="s">
        <v>180</v>
      </c>
      <c r="E217" s="84" t="s">
        <v>401</v>
      </c>
      <c r="F217" s="85"/>
      <c r="G217" s="85"/>
      <c r="H217" s="88"/>
      <c r="I217" s="86"/>
      <c r="J217" s="86"/>
      <c r="K217" s="87"/>
      <c r="L217" s="86"/>
      <c r="M217" s="86"/>
      <c r="N217" s="87"/>
      <c r="O217" s="86"/>
      <c r="P217" s="86"/>
      <c r="Q217" s="87"/>
    </row>
    <row r="218" spans="1:17" ht="24" customHeight="1">
      <c r="A218" s="91">
        <v>31</v>
      </c>
      <c r="B218" s="92"/>
      <c r="C218" s="108" t="s">
        <v>433</v>
      </c>
      <c r="D218" s="108" t="s">
        <v>180</v>
      </c>
      <c r="E218" s="94" t="s">
        <v>401</v>
      </c>
      <c r="F218" s="95" t="s">
        <v>56</v>
      </c>
      <c r="G218" s="96">
        <v>6600</v>
      </c>
      <c r="H218" s="97">
        <v>6600</v>
      </c>
      <c r="I218" s="98"/>
      <c r="J218" s="98"/>
      <c r="K218" s="99"/>
      <c r="L218" s="98"/>
      <c r="M218" s="98"/>
      <c r="N218" s="99"/>
      <c r="O218" s="98"/>
      <c r="P218" s="98"/>
      <c r="Q218" s="99"/>
    </row>
    <row r="219" spans="1:17" ht="14.45" customHeight="1">
      <c r="A219" s="75">
        <v>32</v>
      </c>
      <c r="B219" s="76"/>
      <c r="C219" s="106" t="s">
        <v>435</v>
      </c>
      <c r="D219" s="106" t="s">
        <v>180</v>
      </c>
      <c r="E219" s="78" t="s">
        <v>401</v>
      </c>
      <c r="F219" s="79" t="s">
        <v>50</v>
      </c>
      <c r="G219" s="79" t="s">
        <v>50</v>
      </c>
      <c r="H219" s="80" t="s">
        <v>50</v>
      </c>
      <c r="I219" s="79"/>
      <c r="J219" s="79"/>
      <c r="K219" s="80"/>
      <c r="L219" s="79"/>
      <c r="M219" s="79"/>
      <c r="N219" s="80"/>
      <c r="O219" s="79"/>
      <c r="P219" s="79"/>
      <c r="Q219" s="80"/>
    </row>
    <row r="220" spans="1:17" ht="60" customHeight="1">
      <c r="A220" s="81">
        <v>32</v>
      </c>
      <c r="B220" s="82"/>
      <c r="C220" s="107" t="s">
        <v>435</v>
      </c>
      <c r="D220" s="107" t="s">
        <v>180</v>
      </c>
      <c r="E220" s="84" t="s">
        <v>401</v>
      </c>
      <c r="F220" s="85"/>
      <c r="G220" s="86"/>
      <c r="H220" s="87"/>
      <c r="I220" s="86"/>
      <c r="J220" s="86"/>
      <c r="K220" s="87"/>
      <c r="L220" s="86"/>
      <c r="M220" s="86"/>
      <c r="N220" s="87"/>
      <c r="O220" s="86"/>
      <c r="P220" s="86"/>
      <c r="Q220" s="87"/>
    </row>
    <row r="221" spans="1:17" ht="45" customHeight="1">
      <c r="A221" s="81">
        <v>32</v>
      </c>
      <c r="B221" s="82"/>
      <c r="C221" s="107" t="s">
        <v>435</v>
      </c>
      <c r="D221" s="107" t="s">
        <v>180</v>
      </c>
      <c r="E221" s="84" t="s">
        <v>401</v>
      </c>
      <c r="F221" s="85"/>
      <c r="G221" s="85"/>
      <c r="H221" s="88"/>
      <c r="I221" s="86"/>
      <c r="J221" s="86"/>
      <c r="K221" s="87"/>
      <c r="L221" s="86"/>
      <c r="M221" s="86"/>
      <c r="N221" s="87"/>
      <c r="O221" s="86"/>
      <c r="P221" s="86"/>
      <c r="Q221" s="87"/>
    </row>
    <row r="222" spans="1:17" ht="14.45" customHeight="1">
      <c r="A222" s="81">
        <v>32</v>
      </c>
      <c r="B222" s="82"/>
      <c r="C222" s="107" t="s">
        <v>435</v>
      </c>
      <c r="D222" s="107" t="s">
        <v>180</v>
      </c>
      <c r="E222" s="84" t="s">
        <v>401</v>
      </c>
      <c r="F222" s="89">
        <v>52</v>
      </c>
      <c r="G222" s="89">
        <v>42</v>
      </c>
      <c r="H222" s="90">
        <v>43</v>
      </c>
      <c r="I222" s="86"/>
      <c r="J222" s="86"/>
      <c r="K222" s="87"/>
      <c r="L222" s="86"/>
      <c r="M222" s="86"/>
      <c r="N222" s="87"/>
      <c r="O222" s="86"/>
      <c r="P222" s="86"/>
      <c r="Q222" s="87"/>
    </row>
    <row r="223" spans="1:17" ht="45" customHeight="1">
      <c r="A223" s="81">
        <v>32</v>
      </c>
      <c r="B223" s="82"/>
      <c r="C223" s="107" t="s">
        <v>435</v>
      </c>
      <c r="D223" s="107" t="s">
        <v>180</v>
      </c>
      <c r="E223" s="84" t="s">
        <v>401</v>
      </c>
      <c r="F223" s="85"/>
      <c r="G223" s="85"/>
      <c r="H223" s="88"/>
      <c r="I223" s="86"/>
      <c r="J223" s="86"/>
      <c r="K223" s="87"/>
      <c r="L223" s="86"/>
      <c r="M223" s="86"/>
      <c r="N223" s="87"/>
      <c r="O223" s="86"/>
      <c r="P223" s="86"/>
      <c r="Q223" s="87"/>
    </row>
    <row r="224" spans="1:17" ht="14.45" customHeight="1">
      <c r="A224" s="81">
        <v>32</v>
      </c>
      <c r="B224" s="82"/>
      <c r="C224" s="107" t="s">
        <v>435</v>
      </c>
      <c r="D224" s="107" t="s">
        <v>180</v>
      </c>
      <c r="E224" s="84" t="s">
        <v>401</v>
      </c>
      <c r="F224" s="85"/>
      <c r="G224" s="85"/>
      <c r="H224" s="88"/>
      <c r="I224" s="86"/>
      <c r="J224" s="86"/>
      <c r="K224" s="87"/>
      <c r="L224" s="86"/>
      <c r="M224" s="86"/>
      <c r="N224" s="87"/>
      <c r="O224" s="86"/>
      <c r="P224" s="86"/>
      <c r="Q224" s="87"/>
    </row>
    <row r="225" spans="1:17" ht="24" customHeight="1">
      <c r="A225" s="91">
        <v>32</v>
      </c>
      <c r="B225" s="92"/>
      <c r="C225" s="108" t="s">
        <v>435</v>
      </c>
      <c r="D225" s="108" t="s">
        <v>180</v>
      </c>
      <c r="E225" s="94" t="s">
        <v>401</v>
      </c>
      <c r="F225" s="95" t="s">
        <v>56</v>
      </c>
      <c r="G225" s="96">
        <v>6600</v>
      </c>
      <c r="H225" s="97">
        <v>6600</v>
      </c>
      <c r="I225" s="98"/>
      <c r="J225" s="98"/>
      <c r="K225" s="99"/>
      <c r="L225" s="98"/>
      <c r="M225" s="98"/>
      <c r="N225" s="99"/>
      <c r="O225" s="98"/>
      <c r="P225" s="98"/>
      <c r="Q225" s="99"/>
    </row>
    <row r="226" spans="1:17" ht="14.45" customHeight="1">
      <c r="A226" s="75">
        <v>33</v>
      </c>
      <c r="B226" s="76"/>
      <c r="C226" s="106" t="s">
        <v>437</v>
      </c>
      <c r="D226" s="106" t="s">
        <v>180</v>
      </c>
      <c r="E226" s="78" t="s">
        <v>411</v>
      </c>
      <c r="F226" s="79" t="s">
        <v>50</v>
      </c>
      <c r="G226" s="79" t="s">
        <v>50</v>
      </c>
      <c r="H226" s="80" t="s">
        <v>50</v>
      </c>
      <c r="I226" s="79"/>
      <c r="J226" s="79"/>
      <c r="K226" s="80"/>
      <c r="L226" s="79"/>
      <c r="M226" s="79"/>
      <c r="N226" s="80"/>
      <c r="O226" s="79"/>
      <c r="P226" s="79"/>
      <c r="Q226" s="80"/>
    </row>
    <row r="227" spans="1:17" ht="60" customHeight="1">
      <c r="A227" s="81">
        <v>33</v>
      </c>
      <c r="B227" s="82"/>
      <c r="C227" s="107" t="s">
        <v>437</v>
      </c>
      <c r="D227" s="107" t="s">
        <v>180</v>
      </c>
      <c r="E227" s="84" t="s">
        <v>411</v>
      </c>
      <c r="F227" s="85"/>
      <c r="G227" s="86"/>
      <c r="H227" s="87"/>
      <c r="I227" s="86"/>
      <c r="J227" s="86"/>
      <c r="K227" s="87"/>
      <c r="L227" s="86"/>
      <c r="M227" s="86"/>
      <c r="N227" s="87"/>
      <c r="O227" s="86"/>
      <c r="P227" s="86"/>
      <c r="Q227" s="87"/>
    </row>
    <row r="228" spans="1:17" ht="45" customHeight="1">
      <c r="A228" s="81">
        <v>33</v>
      </c>
      <c r="B228" s="82"/>
      <c r="C228" s="107" t="s">
        <v>437</v>
      </c>
      <c r="D228" s="107" t="s">
        <v>180</v>
      </c>
      <c r="E228" s="84" t="s">
        <v>411</v>
      </c>
      <c r="F228" s="85"/>
      <c r="G228" s="85"/>
      <c r="H228" s="88"/>
      <c r="I228" s="86"/>
      <c r="J228" s="86"/>
      <c r="K228" s="87"/>
      <c r="L228" s="86"/>
      <c r="M228" s="86"/>
      <c r="N228" s="87"/>
      <c r="O228" s="86"/>
      <c r="P228" s="86"/>
      <c r="Q228" s="87"/>
    </row>
    <row r="229" spans="1:17" ht="14.45" customHeight="1">
      <c r="A229" s="81">
        <v>33</v>
      </c>
      <c r="B229" s="82"/>
      <c r="C229" s="107" t="s">
        <v>437</v>
      </c>
      <c r="D229" s="107" t="s">
        <v>180</v>
      </c>
      <c r="E229" s="84" t="s">
        <v>411</v>
      </c>
      <c r="F229" s="89">
        <v>52</v>
      </c>
      <c r="G229" s="89">
        <v>48</v>
      </c>
      <c r="H229" s="90">
        <v>36</v>
      </c>
      <c r="I229" s="86"/>
      <c r="J229" s="86"/>
      <c r="K229" s="87"/>
      <c r="L229" s="86"/>
      <c r="M229" s="86"/>
      <c r="N229" s="87"/>
      <c r="O229" s="86"/>
      <c r="P229" s="86"/>
      <c r="Q229" s="87"/>
    </row>
    <row r="230" spans="1:17" ht="45" customHeight="1">
      <c r="A230" s="81">
        <v>33</v>
      </c>
      <c r="B230" s="82"/>
      <c r="C230" s="107" t="s">
        <v>437</v>
      </c>
      <c r="D230" s="107" t="s">
        <v>180</v>
      </c>
      <c r="E230" s="84" t="s">
        <v>411</v>
      </c>
      <c r="F230" s="85"/>
      <c r="G230" s="85"/>
      <c r="H230" s="88"/>
      <c r="I230" s="86"/>
      <c r="J230" s="86"/>
      <c r="K230" s="87"/>
      <c r="L230" s="86"/>
      <c r="M230" s="86"/>
      <c r="N230" s="87"/>
      <c r="O230" s="86"/>
      <c r="P230" s="86"/>
      <c r="Q230" s="87"/>
    </row>
    <row r="231" spans="1:17" ht="14.45" customHeight="1">
      <c r="A231" s="81">
        <v>33</v>
      </c>
      <c r="B231" s="82"/>
      <c r="C231" s="107" t="s">
        <v>437</v>
      </c>
      <c r="D231" s="107" t="s">
        <v>180</v>
      </c>
      <c r="E231" s="84" t="s">
        <v>411</v>
      </c>
      <c r="F231" s="85"/>
      <c r="G231" s="85"/>
      <c r="H231" s="88"/>
      <c r="I231" s="86"/>
      <c r="J231" s="86"/>
      <c r="K231" s="87"/>
      <c r="L231" s="86"/>
      <c r="M231" s="86"/>
      <c r="N231" s="87"/>
      <c r="O231" s="86"/>
      <c r="P231" s="86"/>
      <c r="Q231" s="87"/>
    </row>
    <row r="232" spans="1:17" ht="24" customHeight="1">
      <c r="A232" s="91">
        <v>33</v>
      </c>
      <c r="B232" s="92"/>
      <c r="C232" s="108" t="s">
        <v>437</v>
      </c>
      <c r="D232" s="108" t="s">
        <v>180</v>
      </c>
      <c r="E232" s="94" t="s">
        <v>411</v>
      </c>
      <c r="F232" s="95" t="s">
        <v>56</v>
      </c>
      <c r="G232" s="96">
        <v>6600</v>
      </c>
      <c r="H232" s="97">
        <v>6600</v>
      </c>
      <c r="I232" s="98"/>
      <c r="J232" s="98"/>
      <c r="K232" s="99"/>
      <c r="L232" s="98"/>
      <c r="M232" s="98"/>
      <c r="N232" s="99"/>
      <c r="O232" s="98"/>
      <c r="P232" s="98"/>
      <c r="Q232" s="99"/>
    </row>
    <row r="233" spans="1:17" ht="14.45" customHeight="1">
      <c r="A233" s="75">
        <v>34</v>
      </c>
      <c r="B233" s="76"/>
      <c r="C233" s="106" t="s">
        <v>432</v>
      </c>
      <c r="D233" s="106" t="s">
        <v>180</v>
      </c>
      <c r="E233" s="78" t="s">
        <v>401</v>
      </c>
      <c r="F233" s="79" t="s">
        <v>50</v>
      </c>
      <c r="G233" s="79" t="s">
        <v>50</v>
      </c>
      <c r="H233" s="80" t="s">
        <v>50</v>
      </c>
      <c r="I233" s="79" t="s">
        <v>51</v>
      </c>
      <c r="J233" s="79" t="s">
        <v>51</v>
      </c>
      <c r="K233" s="80" t="s">
        <v>51</v>
      </c>
      <c r="L233" s="79"/>
      <c r="M233" s="79"/>
      <c r="N233" s="80"/>
      <c r="O233" s="79"/>
      <c r="P233" s="79"/>
      <c r="Q233" s="80"/>
    </row>
    <row r="234" spans="1:17" ht="60" customHeight="1">
      <c r="A234" s="81">
        <v>34</v>
      </c>
      <c r="B234" s="82"/>
      <c r="C234" s="107" t="s">
        <v>432</v>
      </c>
      <c r="D234" s="107" t="s">
        <v>180</v>
      </c>
      <c r="E234" s="84" t="s">
        <v>401</v>
      </c>
      <c r="F234" s="85"/>
      <c r="G234" s="86" t="s">
        <v>438</v>
      </c>
      <c r="H234" s="87" t="s">
        <v>438</v>
      </c>
      <c r="I234" s="85"/>
      <c r="J234" s="86"/>
      <c r="K234" s="87"/>
      <c r="L234" s="86"/>
      <c r="M234" s="86"/>
      <c r="N234" s="87"/>
      <c r="O234" s="86"/>
      <c r="P234" s="86"/>
      <c r="Q234" s="87"/>
    </row>
    <row r="235" spans="1:17" ht="45" customHeight="1">
      <c r="A235" s="81">
        <v>34</v>
      </c>
      <c r="B235" s="82"/>
      <c r="C235" s="107" t="s">
        <v>432</v>
      </c>
      <c r="D235" s="107" t="s">
        <v>180</v>
      </c>
      <c r="E235" s="84" t="s">
        <v>401</v>
      </c>
      <c r="F235" s="85"/>
      <c r="G235" s="85"/>
      <c r="H235" s="88"/>
      <c r="I235" s="85"/>
      <c r="J235" s="85"/>
      <c r="K235" s="88"/>
      <c r="L235" s="86"/>
      <c r="M235" s="86"/>
      <c r="N235" s="87"/>
      <c r="O235" s="86"/>
      <c r="P235" s="86"/>
      <c r="Q235" s="87"/>
    </row>
    <row r="236" spans="1:17" ht="14.45" customHeight="1">
      <c r="A236" s="81">
        <v>34</v>
      </c>
      <c r="B236" s="82"/>
      <c r="C236" s="107" t="s">
        <v>432</v>
      </c>
      <c r="D236" s="107" t="s">
        <v>180</v>
      </c>
      <c r="E236" s="84" t="s">
        <v>401</v>
      </c>
      <c r="F236" s="89">
        <v>54</v>
      </c>
      <c r="G236" s="89">
        <v>24</v>
      </c>
      <c r="H236" s="90">
        <v>33</v>
      </c>
      <c r="I236" s="89">
        <v>70</v>
      </c>
      <c r="J236" s="89">
        <v>32</v>
      </c>
      <c r="K236" s="90">
        <v>43</v>
      </c>
      <c r="L236" s="86"/>
      <c r="M236" s="86"/>
      <c r="N236" s="87"/>
      <c r="O236" s="86"/>
      <c r="P236" s="86"/>
      <c r="Q236" s="87"/>
    </row>
    <row r="237" spans="1:17" ht="45" customHeight="1">
      <c r="A237" s="81">
        <v>34</v>
      </c>
      <c r="B237" s="82"/>
      <c r="C237" s="107" t="s">
        <v>432</v>
      </c>
      <c r="D237" s="107" t="s">
        <v>180</v>
      </c>
      <c r="E237" s="84" t="s">
        <v>401</v>
      </c>
      <c r="F237" s="85"/>
      <c r="G237" s="85"/>
      <c r="H237" s="88"/>
      <c r="I237" s="85"/>
      <c r="J237" s="85"/>
      <c r="K237" s="88"/>
      <c r="L237" s="86"/>
      <c r="M237" s="86"/>
      <c r="N237" s="87"/>
      <c r="O237" s="86"/>
      <c r="P237" s="86"/>
      <c r="Q237" s="87"/>
    </row>
    <row r="238" spans="1:17" ht="14.45" customHeight="1">
      <c r="A238" s="81">
        <v>34</v>
      </c>
      <c r="B238" s="82"/>
      <c r="C238" s="107" t="s">
        <v>432</v>
      </c>
      <c r="D238" s="107" t="s">
        <v>180</v>
      </c>
      <c r="E238" s="84" t="s">
        <v>401</v>
      </c>
      <c r="F238" s="85"/>
      <c r="G238" s="85"/>
      <c r="H238" s="88"/>
      <c r="I238" s="85"/>
      <c r="J238" s="85"/>
      <c r="K238" s="88"/>
      <c r="L238" s="86"/>
      <c r="M238" s="86"/>
      <c r="N238" s="87"/>
      <c r="O238" s="86"/>
      <c r="P238" s="86"/>
      <c r="Q238" s="87"/>
    </row>
    <row r="239" spans="1:17" ht="24" customHeight="1">
      <c r="A239" s="91">
        <v>34</v>
      </c>
      <c r="B239" s="92"/>
      <c r="C239" s="108" t="s">
        <v>432</v>
      </c>
      <c r="D239" s="108" t="s">
        <v>180</v>
      </c>
      <c r="E239" s="94" t="s">
        <v>401</v>
      </c>
      <c r="F239" s="95" t="s">
        <v>56</v>
      </c>
      <c r="G239" s="96">
        <v>5100</v>
      </c>
      <c r="H239" s="97">
        <v>5100</v>
      </c>
      <c r="I239" s="95" t="s">
        <v>56</v>
      </c>
      <c r="J239" s="96">
        <v>6600</v>
      </c>
      <c r="K239" s="97">
        <v>6600</v>
      </c>
      <c r="L239" s="98"/>
      <c r="M239" s="98"/>
      <c r="N239" s="99"/>
      <c r="O239" s="98"/>
      <c r="P239" s="98"/>
      <c r="Q239" s="99"/>
    </row>
    <row r="240" spans="1:17" ht="14.45" customHeight="1">
      <c r="A240" s="75">
        <v>35</v>
      </c>
      <c r="B240" s="76"/>
      <c r="C240" s="106" t="s">
        <v>431</v>
      </c>
      <c r="D240" s="106" t="s">
        <v>180</v>
      </c>
      <c r="E240" s="78" t="s">
        <v>411</v>
      </c>
      <c r="F240" s="79" t="s">
        <v>50</v>
      </c>
      <c r="G240" s="79" t="s">
        <v>50</v>
      </c>
      <c r="H240" s="80" t="s">
        <v>50</v>
      </c>
      <c r="I240" s="79" t="s">
        <v>51</v>
      </c>
      <c r="J240" s="79" t="s">
        <v>51</v>
      </c>
      <c r="K240" s="80" t="s">
        <v>51</v>
      </c>
      <c r="L240" s="79"/>
      <c r="M240" s="79"/>
      <c r="N240" s="80"/>
      <c r="O240" s="79"/>
      <c r="P240" s="79"/>
      <c r="Q240" s="80"/>
    </row>
    <row r="241" spans="1:17" ht="60" customHeight="1">
      <c r="A241" s="81">
        <v>35</v>
      </c>
      <c r="B241" s="82"/>
      <c r="C241" s="107" t="s">
        <v>431</v>
      </c>
      <c r="D241" s="107" t="s">
        <v>180</v>
      </c>
      <c r="E241" s="84" t="s">
        <v>411</v>
      </c>
      <c r="F241" s="85"/>
      <c r="G241" s="86" t="s">
        <v>439</v>
      </c>
      <c r="H241" s="87" t="s">
        <v>439</v>
      </c>
      <c r="I241" s="85"/>
      <c r="J241" s="86"/>
      <c r="K241" s="87"/>
      <c r="L241" s="86"/>
      <c r="M241" s="86"/>
      <c r="N241" s="87"/>
      <c r="O241" s="86"/>
      <c r="P241" s="86"/>
      <c r="Q241" s="87"/>
    </row>
    <row r="242" spans="1:17" ht="45" customHeight="1">
      <c r="A242" s="81">
        <v>35</v>
      </c>
      <c r="B242" s="82"/>
      <c r="C242" s="107" t="s">
        <v>431</v>
      </c>
      <c r="D242" s="107" t="s">
        <v>180</v>
      </c>
      <c r="E242" s="84" t="s">
        <v>411</v>
      </c>
      <c r="F242" s="85"/>
      <c r="G242" s="85"/>
      <c r="H242" s="88"/>
      <c r="I242" s="85"/>
      <c r="J242" s="85"/>
      <c r="K242" s="88"/>
      <c r="L242" s="86"/>
      <c r="M242" s="86"/>
      <c r="N242" s="87"/>
      <c r="O242" s="86"/>
      <c r="P242" s="86"/>
      <c r="Q242" s="87"/>
    </row>
    <row r="243" spans="1:17" ht="14.45" customHeight="1">
      <c r="A243" s="81">
        <v>35</v>
      </c>
      <c r="B243" s="82"/>
      <c r="C243" s="107" t="s">
        <v>431</v>
      </c>
      <c r="D243" s="107" t="s">
        <v>180</v>
      </c>
      <c r="E243" s="84" t="s">
        <v>411</v>
      </c>
      <c r="F243" s="89">
        <v>60</v>
      </c>
      <c r="G243" s="89">
        <v>24</v>
      </c>
      <c r="H243" s="90">
        <v>28</v>
      </c>
      <c r="I243" s="89">
        <v>79</v>
      </c>
      <c r="J243" s="89">
        <v>32</v>
      </c>
      <c r="K243" s="90">
        <v>36</v>
      </c>
      <c r="L243" s="86"/>
      <c r="M243" s="86"/>
      <c r="N243" s="87"/>
      <c r="O243" s="86"/>
      <c r="P243" s="86"/>
      <c r="Q243" s="87"/>
    </row>
    <row r="244" spans="1:17" ht="45" customHeight="1">
      <c r="A244" s="81">
        <v>35</v>
      </c>
      <c r="B244" s="82"/>
      <c r="C244" s="107" t="s">
        <v>431</v>
      </c>
      <c r="D244" s="107" t="s">
        <v>180</v>
      </c>
      <c r="E244" s="84" t="s">
        <v>411</v>
      </c>
      <c r="F244" s="85"/>
      <c r="G244" s="85"/>
      <c r="H244" s="88"/>
      <c r="I244" s="85"/>
      <c r="J244" s="85"/>
      <c r="K244" s="88"/>
      <c r="L244" s="86"/>
      <c r="M244" s="86"/>
      <c r="N244" s="87"/>
      <c r="O244" s="86"/>
      <c r="P244" s="86"/>
      <c r="Q244" s="87"/>
    </row>
    <row r="245" spans="1:17" ht="14.45" customHeight="1">
      <c r="A245" s="81">
        <v>35</v>
      </c>
      <c r="B245" s="82"/>
      <c r="C245" s="107" t="s">
        <v>431</v>
      </c>
      <c r="D245" s="107" t="s">
        <v>180</v>
      </c>
      <c r="E245" s="84" t="s">
        <v>411</v>
      </c>
      <c r="F245" s="85"/>
      <c r="G245" s="85"/>
      <c r="H245" s="88"/>
      <c r="I245" s="85"/>
      <c r="J245" s="85"/>
      <c r="K245" s="88"/>
      <c r="L245" s="86"/>
      <c r="M245" s="86"/>
      <c r="N245" s="87"/>
      <c r="O245" s="86"/>
      <c r="P245" s="86"/>
      <c r="Q245" s="87"/>
    </row>
    <row r="246" spans="1:17" ht="24" customHeight="1">
      <c r="A246" s="91">
        <v>35</v>
      </c>
      <c r="B246" s="92"/>
      <c r="C246" s="108" t="s">
        <v>431</v>
      </c>
      <c r="D246" s="108" t="s">
        <v>180</v>
      </c>
      <c r="E246" s="94" t="s">
        <v>411</v>
      </c>
      <c r="F246" s="95" t="s">
        <v>56</v>
      </c>
      <c r="G246" s="96">
        <v>5100</v>
      </c>
      <c r="H246" s="97">
        <v>5100</v>
      </c>
      <c r="I246" s="95" t="s">
        <v>56</v>
      </c>
      <c r="J246" s="96">
        <v>6600</v>
      </c>
      <c r="K246" s="97">
        <v>6600</v>
      </c>
      <c r="L246" s="98"/>
      <c r="M246" s="98"/>
      <c r="N246" s="99"/>
      <c r="O246" s="98"/>
      <c r="P246" s="98"/>
      <c r="Q246" s="99"/>
    </row>
    <row r="247" spans="1:17" ht="14.45" customHeight="1">
      <c r="A247" s="75">
        <v>36</v>
      </c>
      <c r="B247" s="76"/>
      <c r="C247" s="106" t="s">
        <v>434</v>
      </c>
      <c r="D247" s="106" t="s">
        <v>180</v>
      </c>
      <c r="E247" s="78" t="s">
        <v>411</v>
      </c>
      <c r="F247" s="79" t="s">
        <v>50</v>
      </c>
      <c r="G247" s="79" t="s">
        <v>50</v>
      </c>
      <c r="H247" s="80" t="s">
        <v>50</v>
      </c>
      <c r="I247" s="79" t="s">
        <v>51</v>
      </c>
      <c r="J247" s="79" t="s">
        <v>51</v>
      </c>
      <c r="K247" s="80" t="s">
        <v>51</v>
      </c>
      <c r="L247" s="79"/>
      <c r="M247" s="79"/>
      <c r="N247" s="80"/>
      <c r="O247" s="79"/>
      <c r="P247" s="79"/>
      <c r="Q247" s="80"/>
    </row>
    <row r="248" spans="1:17" ht="60" customHeight="1">
      <c r="A248" s="81">
        <v>36</v>
      </c>
      <c r="B248" s="82"/>
      <c r="C248" s="107" t="s">
        <v>434</v>
      </c>
      <c r="D248" s="107" t="s">
        <v>180</v>
      </c>
      <c r="E248" s="84" t="s">
        <v>411</v>
      </c>
      <c r="F248" s="85"/>
      <c r="G248" s="86" t="s">
        <v>440</v>
      </c>
      <c r="H248" s="87" t="s">
        <v>440</v>
      </c>
      <c r="I248" s="85"/>
      <c r="J248" s="86"/>
      <c r="K248" s="87"/>
      <c r="L248" s="86"/>
      <c r="M248" s="86"/>
      <c r="N248" s="87"/>
      <c r="O248" s="86"/>
      <c r="P248" s="86"/>
      <c r="Q248" s="87"/>
    </row>
    <row r="249" spans="1:17" ht="45" customHeight="1">
      <c r="A249" s="81">
        <v>36</v>
      </c>
      <c r="B249" s="82"/>
      <c r="C249" s="107" t="s">
        <v>434</v>
      </c>
      <c r="D249" s="107" t="s">
        <v>180</v>
      </c>
      <c r="E249" s="84" t="s">
        <v>411</v>
      </c>
      <c r="F249" s="85"/>
      <c r="G249" s="85"/>
      <c r="H249" s="88"/>
      <c r="I249" s="85"/>
      <c r="J249" s="85"/>
      <c r="K249" s="88"/>
      <c r="L249" s="86"/>
      <c r="M249" s="86"/>
      <c r="N249" s="87"/>
      <c r="O249" s="86"/>
      <c r="P249" s="86"/>
      <c r="Q249" s="87"/>
    </row>
    <row r="250" spans="1:17" ht="14.45" customHeight="1">
      <c r="A250" s="81">
        <v>36</v>
      </c>
      <c r="B250" s="82"/>
      <c r="C250" s="107" t="s">
        <v>434</v>
      </c>
      <c r="D250" s="107" t="s">
        <v>180</v>
      </c>
      <c r="E250" s="84" t="s">
        <v>411</v>
      </c>
      <c r="F250" s="89">
        <v>50</v>
      </c>
      <c r="G250" s="89">
        <v>30</v>
      </c>
      <c r="H250" s="90">
        <v>28</v>
      </c>
      <c r="I250" s="89">
        <v>65</v>
      </c>
      <c r="J250" s="89">
        <v>40</v>
      </c>
      <c r="K250" s="90">
        <v>36</v>
      </c>
      <c r="L250" s="86"/>
      <c r="M250" s="86"/>
      <c r="N250" s="87"/>
      <c r="O250" s="86"/>
      <c r="P250" s="86"/>
      <c r="Q250" s="87"/>
    </row>
    <row r="251" spans="1:17" ht="45" customHeight="1">
      <c r="A251" s="81">
        <v>36</v>
      </c>
      <c r="B251" s="82"/>
      <c r="C251" s="107" t="s">
        <v>434</v>
      </c>
      <c r="D251" s="107" t="s">
        <v>180</v>
      </c>
      <c r="E251" s="84" t="s">
        <v>411</v>
      </c>
      <c r="F251" s="85"/>
      <c r="G251" s="85"/>
      <c r="H251" s="88"/>
      <c r="I251" s="85"/>
      <c r="J251" s="85"/>
      <c r="K251" s="88"/>
      <c r="L251" s="86"/>
      <c r="M251" s="86"/>
      <c r="N251" s="87"/>
      <c r="O251" s="86"/>
      <c r="P251" s="86"/>
      <c r="Q251" s="87"/>
    </row>
    <row r="252" spans="1:17" ht="14.45" customHeight="1">
      <c r="A252" s="81">
        <v>36</v>
      </c>
      <c r="B252" s="82"/>
      <c r="C252" s="107" t="s">
        <v>434</v>
      </c>
      <c r="D252" s="107" t="s">
        <v>180</v>
      </c>
      <c r="E252" s="84" t="s">
        <v>411</v>
      </c>
      <c r="F252" s="85"/>
      <c r="G252" s="85"/>
      <c r="H252" s="88"/>
      <c r="I252" s="85"/>
      <c r="J252" s="85"/>
      <c r="K252" s="88"/>
      <c r="L252" s="86"/>
      <c r="M252" s="86"/>
      <c r="N252" s="87"/>
      <c r="O252" s="86"/>
      <c r="P252" s="86"/>
      <c r="Q252" s="87"/>
    </row>
    <row r="253" spans="1:17" ht="24" customHeight="1">
      <c r="A253" s="91">
        <v>36</v>
      </c>
      <c r="B253" s="92"/>
      <c r="C253" s="108" t="s">
        <v>434</v>
      </c>
      <c r="D253" s="108" t="s">
        <v>180</v>
      </c>
      <c r="E253" s="94" t="s">
        <v>411</v>
      </c>
      <c r="F253" s="95" t="s">
        <v>56</v>
      </c>
      <c r="G253" s="96">
        <v>5100</v>
      </c>
      <c r="H253" s="97">
        <v>5100</v>
      </c>
      <c r="I253" s="95" t="s">
        <v>56</v>
      </c>
      <c r="J253" s="96">
        <v>6600</v>
      </c>
      <c r="K253" s="97">
        <v>6600</v>
      </c>
      <c r="L253" s="98"/>
      <c r="M253" s="98"/>
      <c r="N253" s="99"/>
      <c r="O253" s="98"/>
      <c r="P253" s="98"/>
      <c r="Q253" s="99"/>
    </row>
    <row r="254" spans="1:17" ht="14.45" customHeight="1">
      <c r="A254" s="75">
        <v>37</v>
      </c>
      <c r="B254" s="76"/>
      <c r="C254" s="145" t="s">
        <v>440</v>
      </c>
      <c r="D254" s="145" t="s">
        <v>264</v>
      </c>
      <c r="E254" s="78" t="s">
        <v>411</v>
      </c>
      <c r="F254" s="79" t="s">
        <v>50</v>
      </c>
      <c r="G254" s="79" t="s">
        <v>50</v>
      </c>
      <c r="H254" s="80" t="s">
        <v>50</v>
      </c>
      <c r="I254" s="79"/>
      <c r="J254" s="79"/>
      <c r="K254" s="80"/>
      <c r="L254" s="79"/>
      <c r="M254" s="79"/>
      <c r="N254" s="80"/>
      <c r="O254" s="79"/>
      <c r="P254" s="79"/>
      <c r="Q254" s="80"/>
    </row>
    <row r="255" spans="1:17" ht="60" customHeight="1">
      <c r="A255" s="81">
        <v>37</v>
      </c>
      <c r="B255" s="82"/>
      <c r="C255" s="143" t="s">
        <v>440</v>
      </c>
      <c r="D255" s="143" t="s">
        <v>264</v>
      </c>
      <c r="E255" s="84" t="s">
        <v>411</v>
      </c>
      <c r="F255" s="85"/>
      <c r="G255" s="86"/>
      <c r="H255" s="87"/>
      <c r="I255" s="86"/>
      <c r="J255" s="86"/>
      <c r="K255" s="87"/>
      <c r="L255" s="86"/>
      <c r="M255" s="86"/>
      <c r="N255" s="87"/>
      <c r="O255" s="86"/>
      <c r="P255" s="86"/>
      <c r="Q255" s="87"/>
    </row>
    <row r="256" spans="1:17" ht="45" customHeight="1">
      <c r="A256" s="81">
        <v>37</v>
      </c>
      <c r="B256" s="82"/>
      <c r="C256" s="143" t="s">
        <v>440</v>
      </c>
      <c r="D256" s="143" t="s">
        <v>264</v>
      </c>
      <c r="E256" s="84" t="s">
        <v>411</v>
      </c>
      <c r="F256" s="85"/>
      <c r="G256" s="85"/>
      <c r="H256" s="88"/>
      <c r="I256" s="86"/>
      <c r="J256" s="86"/>
      <c r="K256" s="87"/>
      <c r="L256" s="86"/>
      <c r="M256" s="86"/>
      <c r="N256" s="87"/>
      <c r="O256" s="86"/>
      <c r="P256" s="86"/>
      <c r="Q256" s="87"/>
    </row>
    <row r="257" spans="1:17" ht="14.45" customHeight="1">
      <c r="A257" s="81">
        <v>37</v>
      </c>
      <c r="B257" s="82"/>
      <c r="C257" s="143" t="s">
        <v>440</v>
      </c>
      <c r="D257" s="143" t="s">
        <v>264</v>
      </c>
      <c r="E257" s="84" t="s">
        <v>411</v>
      </c>
      <c r="F257" s="89">
        <v>24</v>
      </c>
      <c r="G257" s="89">
        <v>25</v>
      </c>
      <c r="H257" s="88"/>
      <c r="I257" s="86"/>
      <c r="J257" s="86"/>
      <c r="K257" s="87"/>
      <c r="L257" s="86"/>
      <c r="M257" s="86"/>
      <c r="N257" s="87"/>
      <c r="O257" s="86"/>
      <c r="P257" s="86"/>
      <c r="Q257" s="87"/>
    </row>
    <row r="258" spans="1:17" ht="45" customHeight="1">
      <c r="A258" s="81">
        <v>37</v>
      </c>
      <c r="B258" s="82"/>
      <c r="C258" s="143" t="s">
        <v>440</v>
      </c>
      <c r="D258" s="143" t="s">
        <v>264</v>
      </c>
      <c r="E258" s="84" t="s">
        <v>411</v>
      </c>
      <c r="F258" s="85"/>
      <c r="G258" s="85"/>
      <c r="H258" s="88"/>
      <c r="I258" s="86"/>
      <c r="J258" s="86"/>
      <c r="K258" s="87"/>
      <c r="L258" s="86"/>
      <c r="M258" s="86"/>
      <c r="N258" s="87"/>
      <c r="O258" s="86"/>
      <c r="P258" s="86"/>
      <c r="Q258" s="87"/>
    </row>
    <row r="259" spans="1:17" ht="14.45" customHeight="1">
      <c r="A259" s="81">
        <v>37</v>
      </c>
      <c r="B259" s="82"/>
      <c r="C259" s="143" t="s">
        <v>440</v>
      </c>
      <c r="D259" s="143" t="s">
        <v>264</v>
      </c>
      <c r="E259" s="84" t="s">
        <v>411</v>
      </c>
      <c r="F259" s="85"/>
      <c r="G259" s="85"/>
      <c r="H259" s="88"/>
      <c r="I259" s="86"/>
      <c r="J259" s="86"/>
      <c r="K259" s="87"/>
      <c r="L259" s="86"/>
      <c r="M259" s="86"/>
      <c r="N259" s="87"/>
      <c r="O259" s="86"/>
      <c r="P259" s="86"/>
      <c r="Q259" s="87"/>
    </row>
    <row r="260" spans="1:17" ht="24" customHeight="1">
      <c r="A260" s="91">
        <v>37</v>
      </c>
      <c r="B260" s="92"/>
      <c r="C260" s="144" t="s">
        <v>440</v>
      </c>
      <c r="D260" s="144" t="s">
        <v>264</v>
      </c>
      <c r="E260" s="94" t="s">
        <v>411</v>
      </c>
      <c r="F260" s="95" t="s">
        <v>56</v>
      </c>
      <c r="G260" s="96">
        <v>1730</v>
      </c>
      <c r="H260" s="97">
        <v>1730</v>
      </c>
      <c r="I260" s="98"/>
      <c r="J260" s="98"/>
      <c r="K260" s="99"/>
      <c r="L260" s="98"/>
      <c r="M260" s="98"/>
      <c r="N260" s="99"/>
      <c r="O260" s="98"/>
      <c r="P260" s="98"/>
      <c r="Q260" s="99"/>
    </row>
    <row r="261" spans="1:17" ht="14.45" customHeight="1">
      <c r="A261" s="75">
        <v>38</v>
      </c>
      <c r="B261" s="76"/>
      <c r="C261" s="145" t="s">
        <v>438</v>
      </c>
      <c r="D261" s="145" t="s">
        <v>264</v>
      </c>
      <c r="E261" s="78" t="s">
        <v>401</v>
      </c>
      <c r="F261" s="79" t="s">
        <v>50</v>
      </c>
      <c r="G261" s="79" t="s">
        <v>50</v>
      </c>
      <c r="H261" s="80" t="s">
        <v>50</v>
      </c>
      <c r="I261" s="79"/>
      <c r="J261" s="79"/>
      <c r="K261" s="80"/>
      <c r="L261" s="79"/>
      <c r="M261" s="79"/>
      <c r="N261" s="80"/>
      <c r="O261" s="79"/>
      <c r="P261" s="79"/>
      <c r="Q261" s="80"/>
    </row>
    <row r="262" spans="1:17" ht="60" customHeight="1">
      <c r="A262" s="81">
        <v>38</v>
      </c>
      <c r="B262" s="82"/>
      <c r="C262" s="143" t="s">
        <v>438</v>
      </c>
      <c r="D262" s="143" t="s">
        <v>264</v>
      </c>
      <c r="E262" s="84" t="s">
        <v>401</v>
      </c>
      <c r="F262" s="85"/>
      <c r="G262" s="86"/>
      <c r="H262" s="87"/>
      <c r="I262" s="86"/>
      <c r="J262" s="86"/>
      <c r="K262" s="87"/>
      <c r="L262" s="86"/>
      <c r="M262" s="86"/>
      <c r="N262" s="87"/>
      <c r="O262" s="86"/>
      <c r="P262" s="86"/>
      <c r="Q262" s="87"/>
    </row>
    <row r="263" spans="1:17" ht="45" customHeight="1">
      <c r="A263" s="81">
        <v>38</v>
      </c>
      <c r="B263" s="82"/>
      <c r="C263" s="143" t="s">
        <v>438</v>
      </c>
      <c r="D263" s="143" t="s">
        <v>264</v>
      </c>
      <c r="E263" s="84" t="s">
        <v>401</v>
      </c>
      <c r="F263" s="85"/>
      <c r="G263" s="85"/>
      <c r="H263" s="88"/>
      <c r="I263" s="86"/>
      <c r="J263" s="86"/>
      <c r="K263" s="87"/>
      <c r="L263" s="86"/>
      <c r="M263" s="86"/>
      <c r="N263" s="87"/>
      <c r="O263" s="86"/>
      <c r="P263" s="86"/>
      <c r="Q263" s="87"/>
    </row>
    <row r="264" spans="1:17" ht="14.45" customHeight="1">
      <c r="A264" s="81">
        <v>38</v>
      </c>
      <c r="B264" s="82"/>
      <c r="C264" s="143" t="s">
        <v>438</v>
      </c>
      <c r="D264" s="143" t="s">
        <v>264</v>
      </c>
      <c r="E264" s="84" t="s">
        <v>401</v>
      </c>
      <c r="F264" s="89">
        <v>29</v>
      </c>
      <c r="G264" s="89">
        <v>20</v>
      </c>
      <c r="H264" s="88"/>
      <c r="I264" s="86"/>
      <c r="J264" s="86"/>
      <c r="K264" s="87"/>
      <c r="L264" s="86"/>
      <c r="M264" s="86"/>
      <c r="N264" s="87"/>
      <c r="O264" s="86"/>
      <c r="P264" s="86"/>
      <c r="Q264" s="87"/>
    </row>
    <row r="265" spans="1:17" ht="45" customHeight="1">
      <c r="A265" s="81">
        <v>38</v>
      </c>
      <c r="B265" s="82"/>
      <c r="C265" s="143" t="s">
        <v>438</v>
      </c>
      <c r="D265" s="143" t="s">
        <v>264</v>
      </c>
      <c r="E265" s="84" t="s">
        <v>401</v>
      </c>
      <c r="F265" s="85"/>
      <c r="G265" s="85"/>
      <c r="H265" s="88"/>
      <c r="I265" s="86"/>
      <c r="J265" s="86"/>
      <c r="K265" s="87"/>
      <c r="L265" s="86"/>
      <c r="M265" s="86"/>
      <c r="N265" s="87"/>
      <c r="O265" s="86"/>
      <c r="P265" s="86"/>
      <c r="Q265" s="87"/>
    </row>
    <row r="266" spans="1:17" ht="14.45" customHeight="1">
      <c r="A266" s="81">
        <v>38</v>
      </c>
      <c r="B266" s="82"/>
      <c r="C266" s="143" t="s">
        <v>438</v>
      </c>
      <c r="D266" s="143" t="s">
        <v>264</v>
      </c>
      <c r="E266" s="84" t="s">
        <v>401</v>
      </c>
      <c r="F266" s="85"/>
      <c r="G266" s="85"/>
      <c r="H266" s="88"/>
      <c r="I266" s="86"/>
      <c r="J266" s="86"/>
      <c r="K266" s="87"/>
      <c r="L266" s="86"/>
      <c r="M266" s="86"/>
      <c r="N266" s="87"/>
      <c r="O266" s="86"/>
      <c r="P266" s="86"/>
      <c r="Q266" s="87"/>
    </row>
    <row r="267" spans="1:17" ht="24" customHeight="1" thickBot="1">
      <c r="A267" s="91">
        <v>38</v>
      </c>
      <c r="B267" s="92"/>
      <c r="C267" s="144" t="s">
        <v>438</v>
      </c>
      <c r="D267" s="144" t="s">
        <v>264</v>
      </c>
      <c r="E267" s="94" t="s">
        <v>401</v>
      </c>
      <c r="F267" s="95" t="s">
        <v>56</v>
      </c>
      <c r="G267" s="96">
        <v>1730</v>
      </c>
      <c r="H267" s="97">
        <v>1730</v>
      </c>
      <c r="I267" s="98"/>
      <c r="J267" s="98"/>
      <c r="K267" s="99"/>
      <c r="L267" s="98"/>
      <c r="M267" s="98"/>
      <c r="N267" s="99"/>
      <c r="O267" s="98"/>
      <c r="P267" s="98"/>
      <c r="Q267" s="99"/>
    </row>
    <row r="268" spans="1:17" ht="14.45" customHeight="1" thickTop="1">
      <c r="A268" s="137">
        <v>39</v>
      </c>
      <c r="B268" s="138"/>
      <c r="C268" s="139" t="s">
        <v>439</v>
      </c>
      <c r="D268" s="139" t="s">
        <v>264</v>
      </c>
      <c r="E268" s="140" t="s">
        <v>411</v>
      </c>
      <c r="F268" s="79" t="s">
        <v>50</v>
      </c>
      <c r="G268" s="79" t="s">
        <v>50</v>
      </c>
      <c r="H268" s="80" t="s">
        <v>50</v>
      </c>
      <c r="I268" s="79"/>
      <c r="J268" s="79"/>
      <c r="K268" s="80"/>
      <c r="L268" s="79"/>
      <c r="M268" s="79"/>
      <c r="N268" s="80"/>
      <c r="O268" s="79"/>
      <c r="P268" s="79"/>
      <c r="Q268" s="80"/>
    </row>
    <row r="269" spans="1:17" ht="60" customHeight="1">
      <c r="A269" s="81">
        <v>39</v>
      </c>
      <c r="B269" s="82"/>
      <c r="C269" s="143" t="s">
        <v>439</v>
      </c>
      <c r="D269" s="143" t="s">
        <v>264</v>
      </c>
      <c r="E269" s="84" t="s">
        <v>411</v>
      </c>
      <c r="F269" s="85"/>
      <c r="G269" s="86"/>
      <c r="H269" s="87"/>
      <c r="I269" s="86"/>
      <c r="J269" s="86"/>
      <c r="K269" s="87"/>
      <c r="L269" s="86"/>
      <c r="M269" s="86"/>
      <c r="N269" s="87"/>
      <c r="O269" s="86"/>
      <c r="P269" s="86"/>
      <c r="Q269" s="87"/>
    </row>
    <row r="270" spans="1:17" ht="45" customHeight="1">
      <c r="A270" s="81">
        <v>39</v>
      </c>
      <c r="B270" s="82"/>
      <c r="C270" s="143" t="s">
        <v>439</v>
      </c>
      <c r="D270" s="143" t="s">
        <v>264</v>
      </c>
      <c r="E270" s="84" t="s">
        <v>411</v>
      </c>
      <c r="F270" s="85"/>
      <c r="G270" s="85"/>
      <c r="H270" s="88"/>
      <c r="I270" s="86"/>
      <c r="J270" s="86"/>
      <c r="K270" s="87"/>
      <c r="L270" s="86"/>
      <c r="M270" s="86"/>
      <c r="N270" s="87"/>
      <c r="O270" s="86"/>
      <c r="P270" s="86"/>
      <c r="Q270" s="87"/>
    </row>
    <row r="271" spans="1:17" ht="14.45" customHeight="1">
      <c r="A271" s="81">
        <v>39</v>
      </c>
      <c r="B271" s="82"/>
      <c r="C271" s="143" t="s">
        <v>439</v>
      </c>
      <c r="D271" s="143" t="s">
        <v>264</v>
      </c>
      <c r="E271" s="84" t="s">
        <v>411</v>
      </c>
      <c r="F271" s="89">
        <v>29</v>
      </c>
      <c r="G271" s="89">
        <v>20</v>
      </c>
      <c r="H271" s="88"/>
      <c r="I271" s="86"/>
      <c r="J271" s="86"/>
      <c r="K271" s="87"/>
      <c r="L271" s="86"/>
      <c r="M271" s="86"/>
      <c r="N271" s="87"/>
      <c r="O271" s="86"/>
      <c r="P271" s="86"/>
      <c r="Q271" s="87"/>
    </row>
    <row r="272" spans="1:17" ht="45" customHeight="1">
      <c r="A272" s="81">
        <v>39</v>
      </c>
      <c r="B272" s="82"/>
      <c r="C272" s="143" t="s">
        <v>439</v>
      </c>
      <c r="D272" s="143" t="s">
        <v>264</v>
      </c>
      <c r="E272" s="84" t="s">
        <v>411</v>
      </c>
      <c r="F272" s="85"/>
      <c r="G272" s="85"/>
      <c r="H272" s="88"/>
      <c r="I272" s="86"/>
      <c r="J272" s="86"/>
      <c r="K272" s="87"/>
      <c r="L272" s="86"/>
      <c r="M272" s="86"/>
      <c r="N272" s="87"/>
      <c r="O272" s="86"/>
      <c r="P272" s="86"/>
      <c r="Q272" s="87"/>
    </row>
    <row r="273" spans="1:17" ht="14.45" customHeight="1">
      <c r="A273" s="81">
        <v>39</v>
      </c>
      <c r="B273" s="82"/>
      <c r="C273" s="143" t="s">
        <v>439</v>
      </c>
      <c r="D273" s="143" t="s">
        <v>264</v>
      </c>
      <c r="E273" s="84" t="s">
        <v>411</v>
      </c>
      <c r="F273" s="85"/>
      <c r="G273" s="85"/>
      <c r="H273" s="88"/>
      <c r="I273" s="86"/>
      <c r="J273" s="86"/>
      <c r="K273" s="87"/>
      <c r="L273" s="86"/>
      <c r="M273" s="86"/>
      <c r="N273" s="87"/>
      <c r="O273" s="86"/>
      <c r="P273" s="86"/>
      <c r="Q273" s="87"/>
    </row>
    <row r="274" spans="1:17" ht="24" customHeight="1" thickBot="1">
      <c r="A274" s="91">
        <v>39</v>
      </c>
      <c r="B274" s="92"/>
      <c r="C274" s="144" t="s">
        <v>439</v>
      </c>
      <c r="D274" s="144" t="s">
        <v>264</v>
      </c>
      <c r="E274" s="94" t="s">
        <v>411</v>
      </c>
      <c r="F274" s="146" t="s">
        <v>56</v>
      </c>
      <c r="G274" s="96">
        <v>1730</v>
      </c>
      <c r="H274" s="97">
        <v>1730</v>
      </c>
      <c r="I274" s="98"/>
      <c r="J274" s="98"/>
      <c r="K274" s="99"/>
      <c r="L274" s="98"/>
      <c r="M274" s="98"/>
      <c r="N274" s="99"/>
      <c r="O274" s="98"/>
      <c r="P274" s="98"/>
      <c r="Q274" s="99"/>
    </row>
    <row r="275" spans="1:17" ht="15" thickTop="1"/>
  </sheetData>
  <sheetProtection algorithmName="SHA-512" hashValue="IROm6tC7FNBgrzKXR3s/Apu/TTvtNtjG9f7QskI/H/u2ldxf8B9JsnUrxR1pf0w867E6AJbKpMpxvmMN7cbXTQ==" saltValue="XfRIPrhjLA9RXBP8XOm+Aw==" spinCount="100000" sheet="1" objects="1" scenarios="1" autoFilter="0"/>
  <mergeCells count="567">
    <mergeCell ref="O268:Q268"/>
    <mergeCell ref="O269:Q274"/>
    <mergeCell ref="L261:N261"/>
    <mergeCell ref="L262:N267"/>
    <mergeCell ref="O261:Q261"/>
    <mergeCell ref="O262:Q267"/>
    <mergeCell ref="L268:N268"/>
    <mergeCell ref="L269:N274"/>
    <mergeCell ref="A268:A274"/>
    <mergeCell ref="B268:B274"/>
    <mergeCell ref="C268:C274"/>
    <mergeCell ref="D268:D274"/>
    <mergeCell ref="E268:E274"/>
    <mergeCell ref="F268:H268"/>
    <mergeCell ref="G269:H269"/>
    <mergeCell ref="G274:H274"/>
    <mergeCell ref="I268:K268"/>
    <mergeCell ref="I269:K274"/>
    <mergeCell ref="F261:H261"/>
    <mergeCell ref="G262:H262"/>
    <mergeCell ref="G267:H267"/>
    <mergeCell ref="I261:K261"/>
    <mergeCell ref="I262:K267"/>
    <mergeCell ref="A261:A267"/>
    <mergeCell ref="L247:N247"/>
    <mergeCell ref="L248:N253"/>
    <mergeCell ref="O247:Q247"/>
    <mergeCell ref="B261:B267"/>
    <mergeCell ref="C261:C267"/>
    <mergeCell ref="D261:D267"/>
    <mergeCell ref="E261:E267"/>
    <mergeCell ref="O248:Q253"/>
    <mergeCell ref="A254:A260"/>
    <mergeCell ref="B254:B260"/>
    <mergeCell ref="C254:C260"/>
    <mergeCell ref="D254:D260"/>
    <mergeCell ref="E254:E260"/>
    <mergeCell ref="F254:H254"/>
    <mergeCell ref="G255:H255"/>
    <mergeCell ref="G260:H260"/>
    <mergeCell ref="I254:K254"/>
    <mergeCell ref="I255:K260"/>
    <mergeCell ref="L254:N254"/>
    <mergeCell ref="L255:N260"/>
    <mergeCell ref="O254:Q254"/>
    <mergeCell ref="O255:Q260"/>
    <mergeCell ref="A247:A253"/>
    <mergeCell ref="B247:B253"/>
    <mergeCell ref="C247:C253"/>
    <mergeCell ref="D247:D253"/>
    <mergeCell ref="E247:E253"/>
    <mergeCell ref="F247:H247"/>
    <mergeCell ref="G248:H248"/>
    <mergeCell ref="G253:H253"/>
    <mergeCell ref="I247:K247"/>
    <mergeCell ref="J248:K248"/>
    <mergeCell ref="J253:K253"/>
    <mergeCell ref="L233:N233"/>
    <mergeCell ref="F226:H226"/>
    <mergeCell ref="G227:H227"/>
    <mergeCell ref="G232:H232"/>
    <mergeCell ref="I226:K226"/>
    <mergeCell ref="L234:N239"/>
    <mergeCell ref="O233:Q233"/>
    <mergeCell ref="O234:Q239"/>
    <mergeCell ref="A240:A246"/>
    <mergeCell ref="B240:B246"/>
    <mergeCell ref="C240:C246"/>
    <mergeCell ref="D240:D246"/>
    <mergeCell ref="E240:E246"/>
    <mergeCell ref="F240:H240"/>
    <mergeCell ref="G241:H241"/>
    <mergeCell ref="G246:H246"/>
    <mergeCell ref="I240:K240"/>
    <mergeCell ref="J241:K241"/>
    <mergeCell ref="J246:K246"/>
    <mergeCell ref="L240:N240"/>
    <mergeCell ref="L241:N246"/>
    <mergeCell ref="O240:Q240"/>
    <mergeCell ref="O241:Q246"/>
    <mergeCell ref="A233:A239"/>
    <mergeCell ref="B233:B239"/>
    <mergeCell ref="C233:C239"/>
    <mergeCell ref="D233:D239"/>
    <mergeCell ref="E233:E239"/>
    <mergeCell ref="F233:H233"/>
    <mergeCell ref="G234:H234"/>
    <mergeCell ref="G239:H239"/>
    <mergeCell ref="I233:K233"/>
    <mergeCell ref="J234:K234"/>
    <mergeCell ref="J239:K239"/>
    <mergeCell ref="I219:K219"/>
    <mergeCell ref="I220:K225"/>
    <mergeCell ref="I227:K232"/>
    <mergeCell ref="A226:A232"/>
    <mergeCell ref="B226:B232"/>
    <mergeCell ref="C226:C232"/>
    <mergeCell ref="L219:N219"/>
    <mergeCell ref="L220:N225"/>
    <mergeCell ref="O219:Q219"/>
    <mergeCell ref="O220:Q225"/>
    <mergeCell ref="L226:N226"/>
    <mergeCell ref="L227:N232"/>
    <mergeCell ref="O226:Q226"/>
    <mergeCell ref="O227:Q232"/>
    <mergeCell ref="C205:C211"/>
    <mergeCell ref="D226:D232"/>
    <mergeCell ref="E226:E232"/>
    <mergeCell ref="A219:A225"/>
    <mergeCell ref="B219:B225"/>
    <mergeCell ref="C219:C225"/>
    <mergeCell ref="D219:D225"/>
    <mergeCell ref="E219:E225"/>
    <mergeCell ref="F219:H219"/>
    <mergeCell ref="G220:H220"/>
    <mergeCell ref="G225:H225"/>
    <mergeCell ref="A212:A218"/>
    <mergeCell ref="B212:B218"/>
    <mergeCell ref="C212:C218"/>
    <mergeCell ref="D212:D218"/>
    <mergeCell ref="E212:E218"/>
    <mergeCell ref="D205:D211"/>
    <mergeCell ref="E205:E211"/>
    <mergeCell ref="A205:A211"/>
    <mergeCell ref="B205:B211"/>
    <mergeCell ref="L212:N212"/>
    <mergeCell ref="L213:N218"/>
    <mergeCell ref="O212:Q212"/>
    <mergeCell ref="O213:Q218"/>
    <mergeCell ref="F205:H205"/>
    <mergeCell ref="G206:H206"/>
    <mergeCell ref="G211:H211"/>
    <mergeCell ref="I205:K205"/>
    <mergeCell ref="I206:K211"/>
    <mergeCell ref="F212:H212"/>
    <mergeCell ref="G213:H213"/>
    <mergeCell ref="G218:H218"/>
    <mergeCell ref="I212:K212"/>
    <mergeCell ref="I213:K218"/>
    <mergeCell ref="L205:N205"/>
    <mergeCell ref="L206:N211"/>
    <mergeCell ref="O205:Q205"/>
    <mergeCell ref="O206:Q211"/>
    <mergeCell ref="O192:Q197"/>
    <mergeCell ref="A198:A204"/>
    <mergeCell ref="B198:B204"/>
    <mergeCell ref="C198:C204"/>
    <mergeCell ref="D198:D204"/>
    <mergeCell ref="E198:E204"/>
    <mergeCell ref="F198:H198"/>
    <mergeCell ref="G199:H199"/>
    <mergeCell ref="G204:H204"/>
    <mergeCell ref="I198:K198"/>
    <mergeCell ref="J199:K199"/>
    <mergeCell ref="J204:K204"/>
    <mergeCell ref="L198:N198"/>
    <mergeCell ref="L199:N204"/>
    <mergeCell ref="O198:Q198"/>
    <mergeCell ref="O199:Q204"/>
    <mergeCell ref="L184:N184"/>
    <mergeCell ref="L185:N190"/>
    <mergeCell ref="O184:Q184"/>
    <mergeCell ref="O185:Q190"/>
    <mergeCell ref="L177:N177"/>
    <mergeCell ref="A191:A197"/>
    <mergeCell ref="B191:B197"/>
    <mergeCell ref="C191:C197"/>
    <mergeCell ref="D191:D197"/>
    <mergeCell ref="E191:E197"/>
    <mergeCell ref="F191:H191"/>
    <mergeCell ref="G192:H192"/>
    <mergeCell ref="G197:H197"/>
    <mergeCell ref="I191:K191"/>
    <mergeCell ref="J192:K192"/>
    <mergeCell ref="J197:K197"/>
    <mergeCell ref="L191:N191"/>
    <mergeCell ref="L192:N197"/>
    <mergeCell ref="O191:Q191"/>
    <mergeCell ref="A184:A190"/>
    <mergeCell ref="B184:B190"/>
    <mergeCell ref="C184:C190"/>
    <mergeCell ref="D184:D190"/>
    <mergeCell ref="E184:E190"/>
    <mergeCell ref="F184:H184"/>
    <mergeCell ref="G185:H185"/>
    <mergeCell ref="G190:H190"/>
    <mergeCell ref="I184:K184"/>
    <mergeCell ref="J185:K185"/>
    <mergeCell ref="J190:K190"/>
    <mergeCell ref="I177:K177"/>
    <mergeCell ref="J178:K178"/>
    <mergeCell ref="J183:K183"/>
    <mergeCell ref="C170:C176"/>
    <mergeCell ref="D170:D176"/>
    <mergeCell ref="E170:E176"/>
    <mergeCell ref="L178:N183"/>
    <mergeCell ref="O177:Q177"/>
    <mergeCell ref="O178:Q183"/>
    <mergeCell ref="A170:A176"/>
    <mergeCell ref="B170:B176"/>
    <mergeCell ref="A177:A183"/>
    <mergeCell ref="B177:B183"/>
    <mergeCell ref="C177:C183"/>
    <mergeCell ref="D177:D183"/>
    <mergeCell ref="E177:E183"/>
    <mergeCell ref="F177:H177"/>
    <mergeCell ref="G178:H178"/>
    <mergeCell ref="G183:H183"/>
    <mergeCell ref="F170:H170"/>
    <mergeCell ref="G171:H171"/>
    <mergeCell ref="G176:H176"/>
    <mergeCell ref="I170:K170"/>
    <mergeCell ref="J171:K171"/>
    <mergeCell ref="J176:K176"/>
    <mergeCell ref="L170:N170"/>
    <mergeCell ref="L171:N176"/>
    <mergeCell ref="O170:Q170"/>
    <mergeCell ref="O171:Q176"/>
    <mergeCell ref="F163:H163"/>
    <mergeCell ref="G164:H164"/>
    <mergeCell ref="G169:H169"/>
    <mergeCell ref="I163:K163"/>
    <mergeCell ref="J164:K164"/>
    <mergeCell ref="J169:K169"/>
    <mergeCell ref="L163:N163"/>
    <mergeCell ref="L164:N169"/>
    <mergeCell ref="O163:Q163"/>
    <mergeCell ref="O164:Q169"/>
    <mergeCell ref="O149:Q149"/>
    <mergeCell ref="O150:Q155"/>
    <mergeCell ref="A156:A162"/>
    <mergeCell ref="B156:B162"/>
    <mergeCell ref="C156:C162"/>
    <mergeCell ref="D156:D162"/>
    <mergeCell ref="E156:E162"/>
    <mergeCell ref="F156:H156"/>
    <mergeCell ref="G157:H157"/>
    <mergeCell ref="G162:H162"/>
    <mergeCell ref="I156:K156"/>
    <mergeCell ref="J157:K157"/>
    <mergeCell ref="J162:K162"/>
    <mergeCell ref="L156:N156"/>
    <mergeCell ref="L157:N162"/>
    <mergeCell ref="O156:Q156"/>
    <mergeCell ref="L149:N149"/>
    <mergeCell ref="L150:N155"/>
    <mergeCell ref="O157:Q162"/>
    <mergeCell ref="A163:A169"/>
    <mergeCell ref="G143:H143"/>
    <mergeCell ref="G148:H148"/>
    <mergeCell ref="I142:K142"/>
    <mergeCell ref="I143:K148"/>
    <mergeCell ref="A142:A148"/>
    <mergeCell ref="B142:B148"/>
    <mergeCell ref="C142:C148"/>
    <mergeCell ref="A149:A155"/>
    <mergeCell ref="B149:B155"/>
    <mergeCell ref="C149:C155"/>
    <mergeCell ref="D149:D155"/>
    <mergeCell ref="E149:E155"/>
    <mergeCell ref="F149:H149"/>
    <mergeCell ref="G150:H150"/>
    <mergeCell ref="G155:H155"/>
    <mergeCell ref="I149:K149"/>
    <mergeCell ref="I150:K155"/>
    <mergeCell ref="D142:D148"/>
    <mergeCell ref="E142:E148"/>
    <mergeCell ref="B163:B169"/>
    <mergeCell ref="C163:C169"/>
    <mergeCell ref="D163:D169"/>
    <mergeCell ref="E163:E169"/>
    <mergeCell ref="A128:A134"/>
    <mergeCell ref="B128:B134"/>
    <mergeCell ref="C128:C134"/>
    <mergeCell ref="D128:D134"/>
    <mergeCell ref="E128:E134"/>
    <mergeCell ref="F128:H128"/>
    <mergeCell ref="G129:H129"/>
    <mergeCell ref="G134:H134"/>
    <mergeCell ref="F142:H142"/>
    <mergeCell ref="A135:A141"/>
    <mergeCell ref="B135:B141"/>
    <mergeCell ref="C135:C141"/>
    <mergeCell ref="D135:D141"/>
    <mergeCell ref="E135:E141"/>
    <mergeCell ref="F135:H135"/>
    <mergeCell ref="G136:H136"/>
    <mergeCell ref="G141:H141"/>
    <mergeCell ref="I135:K135"/>
    <mergeCell ref="I136:K141"/>
    <mergeCell ref="L142:N142"/>
    <mergeCell ref="L143:N148"/>
    <mergeCell ref="O142:Q142"/>
    <mergeCell ref="O143:Q148"/>
    <mergeCell ref="L114:N114"/>
    <mergeCell ref="L115:N120"/>
    <mergeCell ref="O114:Q114"/>
    <mergeCell ref="O115:Q120"/>
    <mergeCell ref="L121:N121"/>
    <mergeCell ref="L122:N127"/>
    <mergeCell ref="O121:Q121"/>
    <mergeCell ref="O122:Q127"/>
    <mergeCell ref="O128:Q128"/>
    <mergeCell ref="O129:Q134"/>
    <mergeCell ref="L135:N135"/>
    <mergeCell ref="L136:N141"/>
    <mergeCell ref="O135:Q135"/>
    <mergeCell ref="O136:Q141"/>
    <mergeCell ref="I128:K128"/>
    <mergeCell ref="I129:K134"/>
    <mergeCell ref="L128:N128"/>
    <mergeCell ref="L129:N134"/>
    <mergeCell ref="F121:H121"/>
    <mergeCell ref="G122:H122"/>
    <mergeCell ref="G127:H127"/>
    <mergeCell ref="I121:K121"/>
    <mergeCell ref="F100:H100"/>
    <mergeCell ref="G101:H101"/>
    <mergeCell ref="G106:H106"/>
    <mergeCell ref="I100:K100"/>
    <mergeCell ref="I101:K106"/>
    <mergeCell ref="F114:H114"/>
    <mergeCell ref="G115:H115"/>
    <mergeCell ref="G120:H120"/>
    <mergeCell ref="I114:K114"/>
    <mergeCell ref="I115:K120"/>
    <mergeCell ref="I122:K127"/>
    <mergeCell ref="G113:H113"/>
    <mergeCell ref="I107:K107"/>
    <mergeCell ref="I108:K113"/>
    <mergeCell ref="L107:N107"/>
    <mergeCell ref="L108:N113"/>
    <mergeCell ref="O107:Q107"/>
    <mergeCell ref="O108:Q113"/>
    <mergeCell ref="A100:A106"/>
    <mergeCell ref="B100:B106"/>
    <mergeCell ref="C100:C106"/>
    <mergeCell ref="D121:D127"/>
    <mergeCell ref="E121:E127"/>
    <mergeCell ref="A114:A120"/>
    <mergeCell ref="B114:B120"/>
    <mergeCell ref="C114:C120"/>
    <mergeCell ref="D114:D120"/>
    <mergeCell ref="E114:E120"/>
    <mergeCell ref="A121:A127"/>
    <mergeCell ref="B121:B127"/>
    <mergeCell ref="C121:C127"/>
    <mergeCell ref="A107:A113"/>
    <mergeCell ref="B107:B113"/>
    <mergeCell ref="C107:C113"/>
    <mergeCell ref="D107:D113"/>
    <mergeCell ref="E107:E113"/>
    <mergeCell ref="F107:H107"/>
    <mergeCell ref="G108:H108"/>
    <mergeCell ref="D100:D106"/>
    <mergeCell ref="E100:E106"/>
    <mergeCell ref="O87:Q92"/>
    <mergeCell ref="A93:A99"/>
    <mergeCell ref="B93:B99"/>
    <mergeCell ref="C93:C99"/>
    <mergeCell ref="D93:D99"/>
    <mergeCell ref="E93:E99"/>
    <mergeCell ref="F93:H93"/>
    <mergeCell ref="G94:H94"/>
    <mergeCell ref="G99:H99"/>
    <mergeCell ref="I93:K93"/>
    <mergeCell ref="J94:K94"/>
    <mergeCell ref="J99:K99"/>
    <mergeCell ref="L93:N93"/>
    <mergeCell ref="L94:N99"/>
    <mergeCell ref="O93:Q93"/>
    <mergeCell ref="O94:Q99"/>
    <mergeCell ref="L100:N100"/>
    <mergeCell ref="L101:N106"/>
    <mergeCell ref="O100:Q100"/>
    <mergeCell ref="O101:Q106"/>
    <mergeCell ref="L79:N79"/>
    <mergeCell ref="L80:N85"/>
    <mergeCell ref="O79:Q79"/>
    <mergeCell ref="O80:Q85"/>
    <mergeCell ref="L72:N72"/>
    <mergeCell ref="A86:A92"/>
    <mergeCell ref="B86:B92"/>
    <mergeCell ref="C86:C92"/>
    <mergeCell ref="D86:D92"/>
    <mergeCell ref="E86:E92"/>
    <mergeCell ref="F86:H86"/>
    <mergeCell ref="G87:H87"/>
    <mergeCell ref="G92:H92"/>
    <mergeCell ref="I86:K86"/>
    <mergeCell ref="J87:K87"/>
    <mergeCell ref="J92:K92"/>
    <mergeCell ref="L86:N86"/>
    <mergeCell ref="L87:N92"/>
    <mergeCell ref="O86:Q86"/>
    <mergeCell ref="A79:A85"/>
    <mergeCell ref="B79:B85"/>
    <mergeCell ref="C79:C85"/>
    <mergeCell ref="D79:D85"/>
    <mergeCell ref="E79:E85"/>
    <mergeCell ref="F79:H79"/>
    <mergeCell ref="G80:H80"/>
    <mergeCell ref="G85:H85"/>
    <mergeCell ref="I79:K79"/>
    <mergeCell ref="J80:K80"/>
    <mergeCell ref="J85:K85"/>
    <mergeCell ref="I72:K72"/>
    <mergeCell ref="J73:K73"/>
    <mergeCell ref="J78:K78"/>
    <mergeCell ref="C65:C71"/>
    <mergeCell ref="D65:D71"/>
    <mergeCell ref="E65:E71"/>
    <mergeCell ref="L73:N78"/>
    <mergeCell ref="O72:Q72"/>
    <mergeCell ref="O73:Q78"/>
    <mergeCell ref="A65:A71"/>
    <mergeCell ref="B65:B71"/>
    <mergeCell ref="A72:A78"/>
    <mergeCell ref="B72:B78"/>
    <mergeCell ref="C72:C78"/>
    <mergeCell ref="D72:D78"/>
    <mergeCell ref="E72:E78"/>
    <mergeCell ref="F72:H72"/>
    <mergeCell ref="G73:H73"/>
    <mergeCell ref="G78:H78"/>
    <mergeCell ref="O58:Q58"/>
    <mergeCell ref="O59:Q64"/>
    <mergeCell ref="F65:H65"/>
    <mergeCell ref="G66:H66"/>
    <mergeCell ref="G71:H71"/>
    <mergeCell ref="I65:K65"/>
    <mergeCell ref="J66:K66"/>
    <mergeCell ref="J71:K71"/>
    <mergeCell ref="L65:N65"/>
    <mergeCell ref="L66:N71"/>
    <mergeCell ref="O65:Q65"/>
    <mergeCell ref="O66:Q71"/>
    <mergeCell ref="A51:A57"/>
    <mergeCell ref="B51:B57"/>
    <mergeCell ref="C51:C57"/>
    <mergeCell ref="D51:D57"/>
    <mergeCell ref="E51:E57"/>
    <mergeCell ref="F51:H51"/>
    <mergeCell ref="G52:H52"/>
    <mergeCell ref="G57:H57"/>
    <mergeCell ref="I51:K51"/>
    <mergeCell ref="J52:K52"/>
    <mergeCell ref="J57:K57"/>
    <mergeCell ref="I44:K44"/>
    <mergeCell ref="I45:K50"/>
    <mergeCell ref="D37:D43"/>
    <mergeCell ref="E37:E43"/>
    <mergeCell ref="B58:B64"/>
    <mergeCell ref="C58:C64"/>
    <mergeCell ref="D58:D64"/>
    <mergeCell ref="O44:Q44"/>
    <mergeCell ref="O45:Q50"/>
    <mergeCell ref="L51:N51"/>
    <mergeCell ref="L52:N57"/>
    <mergeCell ref="O51:Q51"/>
    <mergeCell ref="L44:N44"/>
    <mergeCell ref="L45:N50"/>
    <mergeCell ref="O52:Q57"/>
    <mergeCell ref="E58:E64"/>
    <mergeCell ref="F58:H58"/>
    <mergeCell ref="G59:H59"/>
    <mergeCell ref="G64:H64"/>
    <mergeCell ref="I58:K58"/>
    <mergeCell ref="J59:K59"/>
    <mergeCell ref="J64:K64"/>
    <mergeCell ref="L58:N58"/>
    <mergeCell ref="L59:N64"/>
    <mergeCell ref="O24:Q29"/>
    <mergeCell ref="L30:N30"/>
    <mergeCell ref="L31:N36"/>
    <mergeCell ref="O30:Q30"/>
    <mergeCell ref="O31:Q36"/>
    <mergeCell ref="F30:H30"/>
    <mergeCell ref="G31:H31"/>
    <mergeCell ref="A58:A64"/>
    <mergeCell ref="F37:H37"/>
    <mergeCell ref="G38:H38"/>
    <mergeCell ref="G43:H43"/>
    <mergeCell ref="I37:K37"/>
    <mergeCell ref="I38:K43"/>
    <mergeCell ref="A37:A43"/>
    <mergeCell ref="B37:B43"/>
    <mergeCell ref="C37:C43"/>
    <mergeCell ref="A44:A50"/>
    <mergeCell ref="B44:B50"/>
    <mergeCell ref="C44:C50"/>
    <mergeCell ref="D44:D50"/>
    <mergeCell ref="E44:E50"/>
    <mergeCell ref="F44:H44"/>
    <mergeCell ref="G45:H45"/>
    <mergeCell ref="G50:H50"/>
    <mergeCell ref="A16:A22"/>
    <mergeCell ref="B16:B22"/>
    <mergeCell ref="A23:A29"/>
    <mergeCell ref="B23:B29"/>
    <mergeCell ref="C23:C29"/>
    <mergeCell ref="D23:D29"/>
    <mergeCell ref="E23:E29"/>
    <mergeCell ref="O37:Q37"/>
    <mergeCell ref="O38:Q43"/>
    <mergeCell ref="L23:N23"/>
    <mergeCell ref="L24:N29"/>
    <mergeCell ref="F16:H16"/>
    <mergeCell ref="G17:H17"/>
    <mergeCell ref="G22:H22"/>
    <mergeCell ref="I16:K16"/>
    <mergeCell ref="J17:K17"/>
    <mergeCell ref="J22:K22"/>
    <mergeCell ref="I23:K23"/>
    <mergeCell ref="I24:K29"/>
    <mergeCell ref="L16:N16"/>
    <mergeCell ref="L17:N22"/>
    <mergeCell ref="O16:Q16"/>
    <mergeCell ref="O17:Q22"/>
    <mergeCell ref="O23:Q23"/>
    <mergeCell ref="L37:N37"/>
    <mergeCell ref="L38:N43"/>
    <mergeCell ref="A30:A36"/>
    <mergeCell ref="B30:B36"/>
    <mergeCell ref="C30:C36"/>
    <mergeCell ref="D30:D36"/>
    <mergeCell ref="E30:E36"/>
    <mergeCell ref="G36:H36"/>
    <mergeCell ref="I30:K30"/>
    <mergeCell ref="I31:K36"/>
    <mergeCell ref="F23:H23"/>
    <mergeCell ref="G24:H24"/>
    <mergeCell ref="G29:H29"/>
    <mergeCell ref="C16:C22"/>
    <mergeCell ref="D16:D22"/>
    <mergeCell ref="E16:E22"/>
    <mergeCell ref="G15:H15"/>
    <mergeCell ref="I9:K9"/>
    <mergeCell ref="I10:K15"/>
    <mergeCell ref="C9:C15"/>
    <mergeCell ref="D9:D15"/>
    <mergeCell ref="E9:E15"/>
    <mergeCell ref="F9:H9"/>
    <mergeCell ref="G10:H10"/>
    <mergeCell ref="L9:N9"/>
    <mergeCell ref="L10:N15"/>
    <mergeCell ref="O9:Q9"/>
    <mergeCell ref="O10:Q15"/>
    <mergeCell ref="B1:C1"/>
    <mergeCell ref="F1:Q1"/>
    <mergeCell ref="A2:A8"/>
    <mergeCell ref="B2:B8"/>
    <mergeCell ref="C2:C8"/>
    <mergeCell ref="D2:D8"/>
    <mergeCell ref="E2:E8"/>
    <mergeCell ref="F2:H2"/>
    <mergeCell ref="G3:H3"/>
    <mergeCell ref="G8:H8"/>
    <mergeCell ref="I2:K2"/>
    <mergeCell ref="J3:K3"/>
    <mergeCell ref="J8:K8"/>
    <mergeCell ref="L2:N2"/>
    <mergeCell ref="L3:N8"/>
    <mergeCell ref="O2:Q2"/>
    <mergeCell ref="O3:Q8"/>
    <mergeCell ref="A9:A15"/>
    <mergeCell ref="B9:B1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1205"/>
  <sheetViews>
    <sheetView showGridLines="0" workbookViewId="0">
      <selection activeCell="I948" sqref="I948:K953"/>
    </sheetView>
  </sheetViews>
  <sheetFormatPr defaultRowHeight="14.25"/>
  <cols>
    <col min="1" max="1" width="7" style="11" customWidth="1"/>
    <col min="2" max="2" width="22" style="11" customWidth="1"/>
    <col min="3" max="3" width="18" style="11" customWidth="1"/>
    <col min="4" max="4" width="13" style="11" customWidth="1"/>
    <col min="5" max="5" width="18" style="11" customWidth="1"/>
    <col min="6" max="27" width="9" style="11" customWidth="1"/>
    <col min="28" max="16384" width="9" style="11"/>
  </cols>
  <sheetData>
    <row r="1" spans="1:17" ht="27.95" customHeight="1">
      <c r="A1" s="70" t="s">
        <v>42</v>
      </c>
      <c r="B1" s="71" t="s">
        <v>43</v>
      </c>
      <c r="C1" s="71" t="s">
        <v>43</v>
      </c>
      <c r="D1" s="72" t="s">
        <v>44</v>
      </c>
      <c r="E1" s="73" t="s">
        <v>45</v>
      </c>
      <c r="F1" s="71" t="s">
        <v>46</v>
      </c>
      <c r="G1" s="71" t="s">
        <v>46</v>
      </c>
      <c r="H1" s="74" t="s">
        <v>46</v>
      </c>
      <c r="I1" s="71" t="s">
        <v>46</v>
      </c>
      <c r="J1" s="71" t="s">
        <v>46</v>
      </c>
      <c r="K1" s="74" t="s">
        <v>46</v>
      </c>
      <c r="L1" s="71" t="s">
        <v>46</v>
      </c>
      <c r="M1" s="71" t="s">
        <v>46</v>
      </c>
      <c r="N1" s="74" t="s">
        <v>46</v>
      </c>
      <c r="O1" s="71" t="s">
        <v>46</v>
      </c>
      <c r="P1" s="71" t="s">
        <v>46</v>
      </c>
      <c r="Q1" s="74" t="s">
        <v>46</v>
      </c>
    </row>
    <row r="2" spans="1:17" ht="14.45" customHeight="1">
      <c r="A2" s="75">
        <v>1</v>
      </c>
      <c r="B2" s="76"/>
      <c r="C2" s="77" t="s">
        <v>266</v>
      </c>
      <c r="D2" s="77" t="s">
        <v>48</v>
      </c>
      <c r="E2" s="78" t="s">
        <v>267</v>
      </c>
      <c r="F2" s="79" t="s">
        <v>50</v>
      </c>
      <c r="G2" s="79" t="s">
        <v>50</v>
      </c>
      <c r="H2" s="80" t="s">
        <v>50</v>
      </c>
      <c r="I2" s="79"/>
      <c r="J2" s="79"/>
      <c r="K2" s="80"/>
      <c r="L2" s="79"/>
      <c r="M2" s="79"/>
      <c r="N2" s="80"/>
      <c r="O2" s="79"/>
      <c r="P2" s="79"/>
      <c r="Q2" s="80"/>
    </row>
    <row r="3" spans="1:17" ht="60" customHeight="1">
      <c r="A3" s="81">
        <v>1</v>
      </c>
      <c r="B3" s="82"/>
      <c r="C3" s="83" t="s">
        <v>266</v>
      </c>
      <c r="D3" s="83" t="s">
        <v>48</v>
      </c>
      <c r="E3" s="84" t="s">
        <v>267</v>
      </c>
      <c r="F3" s="85"/>
      <c r="G3" s="86" t="s">
        <v>268</v>
      </c>
      <c r="H3" s="87" t="s">
        <v>268</v>
      </c>
      <c r="I3" s="86"/>
      <c r="J3" s="86"/>
      <c r="K3" s="87"/>
      <c r="L3" s="86"/>
      <c r="M3" s="86"/>
      <c r="N3" s="87"/>
      <c r="O3" s="86"/>
      <c r="P3" s="86"/>
      <c r="Q3" s="87"/>
    </row>
    <row r="4" spans="1:17" ht="45" customHeight="1">
      <c r="A4" s="81">
        <v>1</v>
      </c>
      <c r="B4" s="82"/>
      <c r="C4" s="83" t="s">
        <v>266</v>
      </c>
      <c r="D4" s="83" t="s">
        <v>48</v>
      </c>
      <c r="E4" s="84" t="s">
        <v>267</v>
      </c>
      <c r="F4" s="85"/>
      <c r="G4" s="85"/>
      <c r="H4" s="88"/>
      <c r="I4" s="86"/>
      <c r="J4" s="86"/>
      <c r="K4" s="87"/>
      <c r="L4" s="86"/>
      <c r="M4" s="86"/>
      <c r="N4" s="87"/>
      <c r="O4" s="86"/>
      <c r="P4" s="86"/>
      <c r="Q4" s="87"/>
    </row>
    <row r="5" spans="1:17" ht="14.45" customHeight="1">
      <c r="A5" s="81">
        <v>1</v>
      </c>
      <c r="B5" s="82"/>
      <c r="C5" s="83" t="s">
        <v>266</v>
      </c>
      <c r="D5" s="83" t="s">
        <v>48</v>
      </c>
      <c r="E5" s="84" t="s">
        <v>267</v>
      </c>
      <c r="F5" s="89">
        <v>198</v>
      </c>
      <c r="G5" s="89">
        <v>460</v>
      </c>
      <c r="H5" s="90">
        <v>610</v>
      </c>
      <c r="I5" s="86"/>
      <c r="J5" s="86"/>
      <c r="K5" s="87"/>
      <c r="L5" s="86"/>
      <c r="M5" s="86"/>
      <c r="N5" s="87"/>
      <c r="O5" s="86"/>
      <c r="P5" s="86"/>
      <c r="Q5" s="87"/>
    </row>
    <row r="6" spans="1:17" ht="45" customHeight="1">
      <c r="A6" s="81">
        <v>1</v>
      </c>
      <c r="B6" s="82"/>
      <c r="C6" s="83" t="s">
        <v>266</v>
      </c>
      <c r="D6" s="83" t="s">
        <v>48</v>
      </c>
      <c r="E6" s="84" t="s">
        <v>267</v>
      </c>
      <c r="F6" s="85"/>
      <c r="G6" s="85"/>
      <c r="H6" s="88"/>
      <c r="I6" s="86"/>
      <c r="J6" s="86"/>
      <c r="K6" s="87"/>
      <c r="L6" s="86"/>
      <c r="M6" s="86"/>
      <c r="N6" s="87"/>
      <c r="O6" s="86"/>
      <c r="P6" s="86"/>
      <c r="Q6" s="87"/>
    </row>
    <row r="7" spans="1:17" ht="14.45" customHeight="1">
      <c r="A7" s="81">
        <v>1</v>
      </c>
      <c r="B7" s="82"/>
      <c r="C7" s="83" t="s">
        <v>266</v>
      </c>
      <c r="D7" s="83" t="s">
        <v>48</v>
      </c>
      <c r="E7" s="84" t="s">
        <v>267</v>
      </c>
      <c r="F7" s="89">
        <v>124</v>
      </c>
      <c r="G7" s="89">
        <v>900</v>
      </c>
      <c r="H7" s="90">
        <v>35</v>
      </c>
      <c r="I7" s="86"/>
      <c r="J7" s="86"/>
      <c r="K7" s="87"/>
      <c r="L7" s="86"/>
      <c r="M7" s="86"/>
      <c r="N7" s="87"/>
      <c r="O7" s="86"/>
      <c r="P7" s="86"/>
      <c r="Q7" s="87"/>
    </row>
    <row r="8" spans="1:17" ht="24" customHeight="1">
      <c r="A8" s="91">
        <v>1</v>
      </c>
      <c r="B8" s="92"/>
      <c r="C8" s="93" t="s">
        <v>266</v>
      </c>
      <c r="D8" s="93" t="s">
        <v>48</v>
      </c>
      <c r="E8" s="94" t="s">
        <v>267</v>
      </c>
      <c r="F8" s="95" t="s">
        <v>56</v>
      </c>
      <c r="G8" s="96">
        <v>723410</v>
      </c>
      <c r="H8" s="97">
        <v>723410</v>
      </c>
      <c r="I8" s="98"/>
      <c r="J8" s="98"/>
      <c r="K8" s="99"/>
      <c r="L8" s="98"/>
      <c r="M8" s="98"/>
      <c r="N8" s="99"/>
      <c r="O8" s="98"/>
      <c r="P8" s="98"/>
      <c r="Q8" s="99"/>
    </row>
    <row r="9" spans="1:17" ht="14.45" customHeight="1">
      <c r="A9" s="75">
        <v>2</v>
      </c>
      <c r="B9" s="76"/>
      <c r="C9" s="77" t="s">
        <v>269</v>
      </c>
      <c r="D9" s="77" t="s">
        <v>48</v>
      </c>
      <c r="E9" s="78" t="s">
        <v>267</v>
      </c>
      <c r="F9" s="79" t="s">
        <v>50</v>
      </c>
      <c r="G9" s="79" t="s">
        <v>50</v>
      </c>
      <c r="H9" s="80" t="s">
        <v>50</v>
      </c>
      <c r="I9" s="79"/>
      <c r="J9" s="79"/>
      <c r="K9" s="80"/>
      <c r="L9" s="79"/>
      <c r="M9" s="79"/>
      <c r="N9" s="80"/>
      <c r="O9" s="79"/>
      <c r="P9" s="79"/>
      <c r="Q9" s="80"/>
    </row>
    <row r="10" spans="1:17" ht="60" customHeight="1">
      <c r="A10" s="81">
        <v>2</v>
      </c>
      <c r="B10" s="82"/>
      <c r="C10" s="83" t="s">
        <v>269</v>
      </c>
      <c r="D10" s="83" t="s">
        <v>48</v>
      </c>
      <c r="E10" s="84" t="s">
        <v>267</v>
      </c>
      <c r="F10" s="85"/>
      <c r="G10" s="86" t="s">
        <v>270</v>
      </c>
      <c r="H10" s="87" t="s">
        <v>270</v>
      </c>
      <c r="I10" s="86"/>
      <c r="J10" s="86"/>
      <c r="K10" s="87"/>
      <c r="L10" s="86"/>
      <c r="M10" s="86"/>
      <c r="N10" s="87"/>
      <c r="O10" s="86"/>
      <c r="P10" s="86"/>
      <c r="Q10" s="87"/>
    </row>
    <row r="11" spans="1:17" ht="45" customHeight="1">
      <c r="A11" s="81">
        <v>2</v>
      </c>
      <c r="B11" s="82"/>
      <c r="C11" s="83" t="s">
        <v>269</v>
      </c>
      <c r="D11" s="83" t="s">
        <v>48</v>
      </c>
      <c r="E11" s="84" t="s">
        <v>267</v>
      </c>
      <c r="F11" s="85"/>
      <c r="G11" s="85"/>
      <c r="H11" s="88"/>
      <c r="I11" s="86"/>
      <c r="J11" s="86"/>
      <c r="K11" s="87"/>
      <c r="L11" s="86"/>
      <c r="M11" s="86"/>
      <c r="N11" s="87"/>
      <c r="O11" s="86"/>
      <c r="P11" s="86"/>
      <c r="Q11" s="87"/>
    </row>
    <row r="12" spans="1:17" ht="14.45" customHeight="1">
      <c r="A12" s="81">
        <v>2</v>
      </c>
      <c r="B12" s="82"/>
      <c r="C12" s="83" t="s">
        <v>269</v>
      </c>
      <c r="D12" s="83" t="s">
        <v>48</v>
      </c>
      <c r="E12" s="84" t="s">
        <v>267</v>
      </c>
      <c r="F12" s="89">
        <v>193</v>
      </c>
      <c r="G12" s="89">
        <v>450</v>
      </c>
      <c r="H12" s="90">
        <v>615</v>
      </c>
      <c r="I12" s="86"/>
      <c r="J12" s="86"/>
      <c r="K12" s="87"/>
      <c r="L12" s="86"/>
      <c r="M12" s="86"/>
      <c r="N12" s="87"/>
      <c r="O12" s="86"/>
      <c r="P12" s="86"/>
      <c r="Q12" s="87"/>
    </row>
    <row r="13" spans="1:17" ht="45" customHeight="1">
      <c r="A13" s="81">
        <v>2</v>
      </c>
      <c r="B13" s="82"/>
      <c r="C13" s="83" t="s">
        <v>269</v>
      </c>
      <c r="D13" s="83" t="s">
        <v>48</v>
      </c>
      <c r="E13" s="84" t="s">
        <v>267</v>
      </c>
      <c r="F13" s="85"/>
      <c r="G13" s="85"/>
      <c r="H13" s="88"/>
      <c r="I13" s="86"/>
      <c r="J13" s="86"/>
      <c r="K13" s="87"/>
      <c r="L13" s="86"/>
      <c r="M13" s="86"/>
      <c r="N13" s="87"/>
      <c r="O13" s="86"/>
      <c r="P13" s="86"/>
      <c r="Q13" s="87"/>
    </row>
    <row r="14" spans="1:17" ht="14.45" customHeight="1">
      <c r="A14" s="81">
        <v>2</v>
      </c>
      <c r="B14" s="82"/>
      <c r="C14" s="83" t="s">
        <v>269</v>
      </c>
      <c r="D14" s="83" t="s">
        <v>48</v>
      </c>
      <c r="E14" s="84" t="s">
        <v>267</v>
      </c>
      <c r="F14" s="89">
        <v>121</v>
      </c>
      <c r="G14" s="89">
        <v>875</v>
      </c>
      <c r="H14" s="90">
        <v>35</v>
      </c>
      <c r="I14" s="86"/>
      <c r="J14" s="86"/>
      <c r="K14" s="87"/>
      <c r="L14" s="86"/>
      <c r="M14" s="86"/>
      <c r="N14" s="87"/>
      <c r="O14" s="86"/>
      <c r="P14" s="86"/>
      <c r="Q14" s="87"/>
    </row>
    <row r="15" spans="1:17" ht="24" customHeight="1">
      <c r="A15" s="91">
        <v>2</v>
      </c>
      <c r="B15" s="92"/>
      <c r="C15" s="93" t="s">
        <v>269</v>
      </c>
      <c r="D15" s="93" t="s">
        <v>48</v>
      </c>
      <c r="E15" s="94" t="s">
        <v>267</v>
      </c>
      <c r="F15" s="95" t="s">
        <v>56</v>
      </c>
      <c r="G15" s="96">
        <v>723610</v>
      </c>
      <c r="H15" s="97">
        <v>723610</v>
      </c>
      <c r="I15" s="98"/>
      <c r="J15" s="98"/>
      <c r="K15" s="99"/>
      <c r="L15" s="98"/>
      <c r="M15" s="98"/>
      <c r="N15" s="99"/>
      <c r="O15" s="98"/>
      <c r="P15" s="98"/>
      <c r="Q15" s="99"/>
    </row>
    <row r="16" spans="1:17" ht="14.45" customHeight="1">
      <c r="A16" s="75">
        <v>3</v>
      </c>
      <c r="B16" s="76"/>
      <c r="C16" s="77" t="s">
        <v>271</v>
      </c>
      <c r="D16" s="77" t="s">
        <v>48</v>
      </c>
      <c r="E16" s="78" t="s">
        <v>272</v>
      </c>
      <c r="F16" s="79" t="s">
        <v>50</v>
      </c>
      <c r="G16" s="79" t="s">
        <v>50</v>
      </c>
      <c r="H16" s="80" t="s">
        <v>50</v>
      </c>
      <c r="I16" s="79"/>
      <c r="J16" s="79"/>
      <c r="K16" s="80"/>
      <c r="L16" s="79"/>
      <c r="M16" s="79"/>
      <c r="N16" s="80"/>
      <c r="O16" s="79"/>
      <c r="P16" s="79"/>
      <c r="Q16" s="80"/>
    </row>
    <row r="17" spans="1:17" ht="60" customHeight="1">
      <c r="A17" s="81">
        <v>3</v>
      </c>
      <c r="B17" s="82"/>
      <c r="C17" s="83" t="s">
        <v>271</v>
      </c>
      <c r="D17" s="83" t="s">
        <v>48</v>
      </c>
      <c r="E17" s="84" t="s">
        <v>272</v>
      </c>
      <c r="F17" s="85"/>
      <c r="G17" s="86"/>
      <c r="H17" s="87"/>
      <c r="I17" s="86"/>
      <c r="J17" s="86"/>
      <c r="K17" s="87"/>
      <c r="L17" s="86"/>
      <c r="M17" s="86"/>
      <c r="N17" s="87"/>
      <c r="O17" s="86"/>
      <c r="P17" s="86"/>
      <c r="Q17" s="87"/>
    </row>
    <row r="18" spans="1:17" ht="45" customHeight="1">
      <c r="A18" s="81">
        <v>3</v>
      </c>
      <c r="B18" s="82"/>
      <c r="C18" s="83" t="s">
        <v>271</v>
      </c>
      <c r="D18" s="83" t="s">
        <v>48</v>
      </c>
      <c r="E18" s="84" t="s">
        <v>272</v>
      </c>
      <c r="F18" s="85"/>
      <c r="G18" s="85"/>
      <c r="H18" s="88"/>
      <c r="I18" s="86"/>
      <c r="J18" s="86"/>
      <c r="K18" s="87"/>
      <c r="L18" s="86"/>
      <c r="M18" s="86"/>
      <c r="N18" s="87"/>
      <c r="O18" s="86"/>
      <c r="P18" s="86"/>
      <c r="Q18" s="87"/>
    </row>
    <row r="19" spans="1:17" ht="14.45" customHeight="1">
      <c r="A19" s="81">
        <v>3</v>
      </c>
      <c r="B19" s="82"/>
      <c r="C19" s="83" t="s">
        <v>271</v>
      </c>
      <c r="D19" s="83" t="s">
        <v>48</v>
      </c>
      <c r="E19" s="84" t="s">
        <v>272</v>
      </c>
      <c r="F19" s="89">
        <v>509</v>
      </c>
      <c r="G19" s="89">
        <v>700</v>
      </c>
      <c r="H19" s="90">
        <v>286</v>
      </c>
      <c r="I19" s="86"/>
      <c r="J19" s="86"/>
      <c r="K19" s="87"/>
      <c r="L19" s="86"/>
      <c r="M19" s="86"/>
      <c r="N19" s="87"/>
      <c r="O19" s="86"/>
      <c r="P19" s="86"/>
      <c r="Q19" s="87"/>
    </row>
    <row r="20" spans="1:17" ht="45" customHeight="1">
      <c r="A20" s="81">
        <v>3</v>
      </c>
      <c r="B20" s="82"/>
      <c r="C20" s="83" t="s">
        <v>271</v>
      </c>
      <c r="D20" s="83" t="s">
        <v>48</v>
      </c>
      <c r="E20" s="84" t="s">
        <v>272</v>
      </c>
      <c r="F20" s="85"/>
      <c r="G20" s="85"/>
      <c r="H20" s="88"/>
      <c r="I20" s="86"/>
      <c r="J20" s="86"/>
      <c r="K20" s="87"/>
      <c r="L20" s="86"/>
      <c r="M20" s="86"/>
      <c r="N20" s="87"/>
      <c r="O20" s="86"/>
      <c r="P20" s="86"/>
      <c r="Q20" s="87"/>
    </row>
    <row r="21" spans="1:17" ht="14.45" customHeight="1">
      <c r="A21" s="81">
        <v>3</v>
      </c>
      <c r="B21" s="82"/>
      <c r="C21" s="83" t="s">
        <v>271</v>
      </c>
      <c r="D21" s="83" t="s">
        <v>48</v>
      </c>
      <c r="E21" s="84" t="s">
        <v>272</v>
      </c>
      <c r="F21" s="89">
        <v>227</v>
      </c>
      <c r="G21" s="89">
        <v>149</v>
      </c>
      <c r="H21" s="90">
        <v>17</v>
      </c>
      <c r="I21" s="86"/>
      <c r="J21" s="86"/>
      <c r="K21" s="87"/>
      <c r="L21" s="86"/>
      <c r="M21" s="86"/>
      <c r="N21" s="87"/>
      <c r="O21" s="86"/>
      <c r="P21" s="86"/>
      <c r="Q21" s="87"/>
    </row>
    <row r="22" spans="1:17" ht="24" customHeight="1">
      <c r="A22" s="91">
        <v>3</v>
      </c>
      <c r="B22" s="92"/>
      <c r="C22" s="93" t="s">
        <v>271</v>
      </c>
      <c r="D22" s="93" t="s">
        <v>48</v>
      </c>
      <c r="E22" s="94" t="s">
        <v>272</v>
      </c>
      <c r="F22" s="95" t="s">
        <v>56</v>
      </c>
      <c r="G22" s="96">
        <v>324000</v>
      </c>
      <c r="H22" s="97">
        <v>324000</v>
      </c>
      <c r="I22" s="98"/>
      <c r="J22" s="98"/>
      <c r="K22" s="99"/>
      <c r="L22" s="98"/>
      <c r="M22" s="98"/>
      <c r="N22" s="99"/>
      <c r="O22" s="98"/>
      <c r="P22" s="98"/>
      <c r="Q22" s="99"/>
    </row>
    <row r="23" spans="1:17" ht="14.45" customHeight="1">
      <c r="A23" s="75">
        <v>4</v>
      </c>
      <c r="B23" s="76"/>
      <c r="C23" s="77" t="s">
        <v>273</v>
      </c>
      <c r="D23" s="77" t="s">
        <v>48</v>
      </c>
      <c r="E23" s="78" t="s">
        <v>267</v>
      </c>
      <c r="F23" s="79" t="s">
        <v>50</v>
      </c>
      <c r="G23" s="79" t="s">
        <v>50</v>
      </c>
      <c r="H23" s="80" t="s">
        <v>50</v>
      </c>
      <c r="I23" s="79"/>
      <c r="J23" s="79"/>
      <c r="K23" s="80"/>
      <c r="L23" s="79"/>
      <c r="M23" s="79"/>
      <c r="N23" s="80"/>
      <c r="O23" s="79"/>
      <c r="P23" s="79"/>
      <c r="Q23" s="80"/>
    </row>
    <row r="24" spans="1:17" ht="60" customHeight="1">
      <c r="A24" s="81">
        <v>4</v>
      </c>
      <c r="B24" s="82"/>
      <c r="C24" s="83" t="s">
        <v>273</v>
      </c>
      <c r="D24" s="83" t="s">
        <v>48</v>
      </c>
      <c r="E24" s="84" t="s">
        <v>267</v>
      </c>
      <c r="F24" s="85"/>
      <c r="G24" s="86" t="s">
        <v>274</v>
      </c>
      <c r="H24" s="87" t="s">
        <v>274</v>
      </c>
      <c r="I24" s="86"/>
      <c r="J24" s="86"/>
      <c r="K24" s="87"/>
      <c r="L24" s="86"/>
      <c r="M24" s="86"/>
      <c r="N24" s="87"/>
      <c r="O24" s="86"/>
      <c r="P24" s="86"/>
      <c r="Q24" s="87"/>
    </row>
    <row r="25" spans="1:17" ht="45" customHeight="1">
      <c r="A25" s="81">
        <v>4</v>
      </c>
      <c r="B25" s="82"/>
      <c r="C25" s="83" t="s">
        <v>273</v>
      </c>
      <c r="D25" s="83" t="s">
        <v>48</v>
      </c>
      <c r="E25" s="84" t="s">
        <v>267</v>
      </c>
      <c r="F25" s="85"/>
      <c r="G25" s="85"/>
      <c r="H25" s="88"/>
      <c r="I25" s="86"/>
      <c r="J25" s="86"/>
      <c r="K25" s="87"/>
      <c r="L25" s="86"/>
      <c r="M25" s="86"/>
      <c r="N25" s="87"/>
      <c r="O25" s="86"/>
      <c r="P25" s="86"/>
      <c r="Q25" s="87"/>
    </row>
    <row r="26" spans="1:17" ht="14.45" customHeight="1">
      <c r="A26" s="81">
        <v>4</v>
      </c>
      <c r="B26" s="82"/>
      <c r="C26" s="83" t="s">
        <v>273</v>
      </c>
      <c r="D26" s="83" t="s">
        <v>48</v>
      </c>
      <c r="E26" s="84" t="s">
        <v>267</v>
      </c>
      <c r="F26" s="89">
        <v>160</v>
      </c>
      <c r="G26" s="89">
        <v>415</v>
      </c>
      <c r="H26" s="90">
        <v>319</v>
      </c>
      <c r="I26" s="86"/>
      <c r="J26" s="86"/>
      <c r="K26" s="87"/>
      <c r="L26" s="86"/>
      <c r="M26" s="86"/>
      <c r="N26" s="87"/>
      <c r="O26" s="86"/>
      <c r="P26" s="86"/>
      <c r="Q26" s="87"/>
    </row>
    <row r="27" spans="1:17" ht="45" customHeight="1">
      <c r="A27" s="81">
        <v>4</v>
      </c>
      <c r="B27" s="82"/>
      <c r="C27" s="83" t="s">
        <v>273</v>
      </c>
      <c r="D27" s="83" t="s">
        <v>48</v>
      </c>
      <c r="E27" s="84" t="s">
        <v>267</v>
      </c>
      <c r="F27" s="85"/>
      <c r="G27" s="85"/>
      <c r="H27" s="88"/>
      <c r="I27" s="86"/>
      <c r="J27" s="86"/>
      <c r="K27" s="87"/>
      <c r="L27" s="86"/>
      <c r="M27" s="86"/>
      <c r="N27" s="87"/>
      <c r="O27" s="86"/>
      <c r="P27" s="86"/>
      <c r="Q27" s="87"/>
    </row>
    <row r="28" spans="1:17" ht="14.45" customHeight="1">
      <c r="A28" s="81">
        <v>4</v>
      </c>
      <c r="B28" s="82"/>
      <c r="C28" s="83" t="s">
        <v>273</v>
      </c>
      <c r="D28" s="83" t="s">
        <v>48</v>
      </c>
      <c r="E28" s="84" t="s">
        <v>267</v>
      </c>
      <c r="F28" s="89">
        <v>134</v>
      </c>
      <c r="G28" s="89">
        <v>88</v>
      </c>
      <c r="H28" s="90">
        <v>8</v>
      </c>
      <c r="I28" s="86"/>
      <c r="J28" s="86"/>
      <c r="K28" s="87"/>
      <c r="L28" s="86"/>
      <c r="M28" s="86"/>
      <c r="N28" s="87"/>
      <c r="O28" s="86"/>
      <c r="P28" s="86"/>
      <c r="Q28" s="87"/>
    </row>
    <row r="29" spans="1:17" ht="24" customHeight="1">
      <c r="A29" s="91">
        <v>4</v>
      </c>
      <c r="B29" s="92"/>
      <c r="C29" s="93" t="s">
        <v>273</v>
      </c>
      <c r="D29" s="93" t="s">
        <v>48</v>
      </c>
      <c r="E29" s="94" t="s">
        <v>267</v>
      </c>
      <c r="F29" s="95" t="s">
        <v>56</v>
      </c>
      <c r="G29" s="96">
        <v>181000</v>
      </c>
      <c r="H29" s="97">
        <v>181000</v>
      </c>
      <c r="I29" s="98"/>
      <c r="J29" s="98"/>
      <c r="K29" s="99"/>
      <c r="L29" s="98"/>
      <c r="M29" s="98"/>
      <c r="N29" s="99"/>
      <c r="O29" s="98"/>
      <c r="P29" s="98"/>
      <c r="Q29" s="99"/>
    </row>
    <row r="30" spans="1:17" ht="14.45" customHeight="1">
      <c r="A30" s="75">
        <v>5</v>
      </c>
      <c r="B30" s="76"/>
      <c r="C30" s="77" t="s">
        <v>275</v>
      </c>
      <c r="D30" s="77" t="s">
        <v>48</v>
      </c>
      <c r="E30" s="78" t="s">
        <v>272</v>
      </c>
      <c r="F30" s="79" t="s">
        <v>50</v>
      </c>
      <c r="G30" s="79" t="s">
        <v>50</v>
      </c>
      <c r="H30" s="80" t="s">
        <v>50</v>
      </c>
      <c r="I30" s="79"/>
      <c r="J30" s="79"/>
      <c r="K30" s="80"/>
      <c r="L30" s="79"/>
      <c r="M30" s="79"/>
      <c r="N30" s="80"/>
      <c r="O30" s="79"/>
      <c r="P30" s="79"/>
      <c r="Q30" s="80"/>
    </row>
    <row r="31" spans="1:17" ht="60" customHeight="1">
      <c r="A31" s="81">
        <v>5</v>
      </c>
      <c r="B31" s="82"/>
      <c r="C31" s="83" t="s">
        <v>275</v>
      </c>
      <c r="D31" s="83" t="s">
        <v>48</v>
      </c>
      <c r="E31" s="84" t="s">
        <v>272</v>
      </c>
      <c r="F31" s="85"/>
      <c r="G31" s="86" t="s">
        <v>276</v>
      </c>
      <c r="H31" s="87" t="s">
        <v>276</v>
      </c>
      <c r="I31" s="86"/>
      <c r="J31" s="86"/>
      <c r="K31" s="87"/>
      <c r="L31" s="86"/>
      <c r="M31" s="86"/>
      <c r="N31" s="87"/>
      <c r="O31" s="86"/>
      <c r="P31" s="86"/>
      <c r="Q31" s="87"/>
    </row>
    <row r="32" spans="1:17" ht="45" customHeight="1">
      <c r="A32" s="81">
        <v>5</v>
      </c>
      <c r="B32" s="82"/>
      <c r="C32" s="83" t="s">
        <v>275</v>
      </c>
      <c r="D32" s="83" t="s">
        <v>48</v>
      </c>
      <c r="E32" s="84" t="s">
        <v>272</v>
      </c>
      <c r="F32" s="85"/>
      <c r="G32" s="85"/>
      <c r="H32" s="88"/>
      <c r="I32" s="86"/>
      <c r="J32" s="86"/>
      <c r="K32" s="87"/>
      <c r="L32" s="86"/>
      <c r="M32" s="86"/>
      <c r="N32" s="87"/>
      <c r="O32" s="86"/>
      <c r="P32" s="86"/>
      <c r="Q32" s="87"/>
    </row>
    <row r="33" spans="1:17" ht="14.45" customHeight="1">
      <c r="A33" s="81">
        <v>5</v>
      </c>
      <c r="B33" s="82"/>
      <c r="C33" s="83" t="s">
        <v>275</v>
      </c>
      <c r="D33" s="83" t="s">
        <v>48</v>
      </c>
      <c r="E33" s="84" t="s">
        <v>272</v>
      </c>
      <c r="F33" s="89">
        <v>293</v>
      </c>
      <c r="G33" s="89">
        <v>403</v>
      </c>
      <c r="H33" s="90">
        <v>165</v>
      </c>
      <c r="I33" s="86"/>
      <c r="J33" s="86"/>
      <c r="K33" s="87"/>
      <c r="L33" s="86"/>
      <c r="M33" s="86"/>
      <c r="N33" s="87"/>
      <c r="O33" s="86"/>
      <c r="P33" s="86"/>
      <c r="Q33" s="87"/>
    </row>
    <row r="34" spans="1:17" ht="45" customHeight="1">
      <c r="A34" s="81">
        <v>5</v>
      </c>
      <c r="B34" s="82"/>
      <c r="C34" s="83" t="s">
        <v>275</v>
      </c>
      <c r="D34" s="83" t="s">
        <v>48</v>
      </c>
      <c r="E34" s="84" t="s">
        <v>272</v>
      </c>
      <c r="F34" s="85"/>
      <c r="G34" s="85"/>
      <c r="H34" s="88"/>
      <c r="I34" s="86"/>
      <c r="J34" s="86"/>
      <c r="K34" s="87"/>
      <c r="L34" s="86"/>
      <c r="M34" s="86"/>
      <c r="N34" s="87"/>
      <c r="O34" s="86"/>
      <c r="P34" s="86"/>
      <c r="Q34" s="87"/>
    </row>
    <row r="35" spans="1:17" ht="14.45" customHeight="1">
      <c r="A35" s="81">
        <v>5</v>
      </c>
      <c r="B35" s="82"/>
      <c r="C35" s="83" t="s">
        <v>275</v>
      </c>
      <c r="D35" s="83" t="s">
        <v>48</v>
      </c>
      <c r="E35" s="84" t="s">
        <v>272</v>
      </c>
      <c r="F35" s="89">
        <v>131</v>
      </c>
      <c r="G35" s="89">
        <v>86</v>
      </c>
      <c r="H35" s="90">
        <v>17</v>
      </c>
      <c r="I35" s="86"/>
      <c r="J35" s="86"/>
      <c r="K35" s="87"/>
      <c r="L35" s="86"/>
      <c r="M35" s="86"/>
      <c r="N35" s="87"/>
      <c r="O35" s="86"/>
      <c r="P35" s="86"/>
      <c r="Q35" s="87"/>
    </row>
    <row r="36" spans="1:17" ht="24" customHeight="1">
      <c r="A36" s="91">
        <v>5</v>
      </c>
      <c r="B36" s="92"/>
      <c r="C36" s="93" t="s">
        <v>275</v>
      </c>
      <c r="D36" s="93" t="s">
        <v>48</v>
      </c>
      <c r="E36" s="94" t="s">
        <v>272</v>
      </c>
      <c r="F36" s="95" t="s">
        <v>56</v>
      </c>
      <c r="G36" s="96">
        <v>247000</v>
      </c>
      <c r="H36" s="97">
        <v>247000</v>
      </c>
      <c r="I36" s="98"/>
      <c r="J36" s="98"/>
      <c r="K36" s="99"/>
      <c r="L36" s="98"/>
      <c r="M36" s="98"/>
      <c r="N36" s="99"/>
      <c r="O36" s="98"/>
      <c r="P36" s="98"/>
      <c r="Q36" s="99"/>
    </row>
    <row r="37" spans="1:17" ht="14.45" customHeight="1">
      <c r="A37" s="75">
        <v>6</v>
      </c>
      <c r="B37" s="76"/>
      <c r="C37" s="77" t="s">
        <v>277</v>
      </c>
      <c r="D37" s="77" t="s">
        <v>48</v>
      </c>
      <c r="E37" s="78" t="s">
        <v>272</v>
      </c>
      <c r="F37" s="79" t="s">
        <v>50</v>
      </c>
      <c r="G37" s="79" t="s">
        <v>50</v>
      </c>
      <c r="H37" s="80" t="s">
        <v>50</v>
      </c>
      <c r="I37" s="79"/>
      <c r="J37" s="79"/>
      <c r="K37" s="80"/>
      <c r="L37" s="79"/>
      <c r="M37" s="79"/>
      <c r="N37" s="80"/>
      <c r="O37" s="79"/>
      <c r="P37" s="79"/>
      <c r="Q37" s="80"/>
    </row>
    <row r="38" spans="1:17" ht="60" customHeight="1">
      <c r="A38" s="81">
        <v>6</v>
      </c>
      <c r="B38" s="82"/>
      <c r="C38" s="83" t="s">
        <v>277</v>
      </c>
      <c r="D38" s="83" t="s">
        <v>48</v>
      </c>
      <c r="E38" s="84" t="s">
        <v>272</v>
      </c>
      <c r="F38" s="85"/>
      <c r="G38" s="86" t="s">
        <v>278</v>
      </c>
      <c r="H38" s="87" t="s">
        <v>278</v>
      </c>
      <c r="I38" s="86"/>
      <c r="J38" s="86"/>
      <c r="K38" s="87"/>
      <c r="L38" s="86"/>
      <c r="M38" s="86"/>
      <c r="N38" s="87"/>
      <c r="O38" s="86"/>
      <c r="P38" s="86"/>
      <c r="Q38" s="87"/>
    </row>
    <row r="39" spans="1:17" ht="45" customHeight="1">
      <c r="A39" s="81">
        <v>6</v>
      </c>
      <c r="B39" s="82"/>
      <c r="C39" s="83" t="s">
        <v>277</v>
      </c>
      <c r="D39" s="83" t="s">
        <v>48</v>
      </c>
      <c r="E39" s="84" t="s">
        <v>272</v>
      </c>
      <c r="F39" s="85"/>
      <c r="G39" s="85"/>
      <c r="H39" s="88"/>
      <c r="I39" s="86"/>
      <c r="J39" s="86"/>
      <c r="K39" s="87"/>
      <c r="L39" s="86"/>
      <c r="M39" s="86"/>
      <c r="N39" s="87"/>
      <c r="O39" s="86"/>
      <c r="P39" s="86"/>
      <c r="Q39" s="87"/>
    </row>
    <row r="40" spans="1:17" ht="14.45" customHeight="1">
      <c r="A40" s="81">
        <v>6</v>
      </c>
      <c r="B40" s="82"/>
      <c r="C40" s="83" t="s">
        <v>277</v>
      </c>
      <c r="D40" s="83" t="s">
        <v>48</v>
      </c>
      <c r="E40" s="84" t="s">
        <v>272</v>
      </c>
      <c r="F40" s="89">
        <v>293</v>
      </c>
      <c r="G40" s="89">
        <v>403</v>
      </c>
      <c r="H40" s="90">
        <v>165</v>
      </c>
      <c r="I40" s="86"/>
      <c r="J40" s="86"/>
      <c r="K40" s="87"/>
      <c r="L40" s="86"/>
      <c r="M40" s="86"/>
      <c r="N40" s="87"/>
      <c r="O40" s="86"/>
      <c r="P40" s="86"/>
      <c r="Q40" s="87"/>
    </row>
    <row r="41" spans="1:17" ht="45" customHeight="1">
      <c r="A41" s="81">
        <v>6</v>
      </c>
      <c r="B41" s="82"/>
      <c r="C41" s="83" t="s">
        <v>277</v>
      </c>
      <c r="D41" s="83" t="s">
        <v>48</v>
      </c>
      <c r="E41" s="84" t="s">
        <v>272</v>
      </c>
      <c r="F41" s="85"/>
      <c r="G41" s="85"/>
      <c r="H41" s="88"/>
      <c r="I41" s="86"/>
      <c r="J41" s="86"/>
      <c r="K41" s="87"/>
      <c r="L41" s="86"/>
      <c r="M41" s="86"/>
      <c r="N41" s="87"/>
      <c r="O41" s="86"/>
      <c r="P41" s="86"/>
      <c r="Q41" s="87"/>
    </row>
    <row r="42" spans="1:17" ht="14.45" customHeight="1">
      <c r="A42" s="81">
        <v>6</v>
      </c>
      <c r="B42" s="82"/>
      <c r="C42" s="83" t="s">
        <v>277</v>
      </c>
      <c r="D42" s="83" t="s">
        <v>48</v>
      </c>
      <c r="E42" s="84" t="s">
        <v>272</v>
      </c>
      <c r="F42" s="89">
        <v>131</v>
      </c>
      <c r="G42" s="89">
        <v>86</v>
      </c>
      <c r="H42" s="90">
        <v>17</v>
      </c>
      <c r="I42" s="86"/>
      <c r="J42" s="86"/>
      <c r="K42" s="87"/>
      <c r="L42" s="86"/>
      <c r="M42" s="86"/>
      <c r="N42" s="87"/>
      <c r="O42" s="86"/>
      <c r="P42" s="86"/>
      <c r="Q42" s="87"/>
    </row>
    <row r="43" spans="1:17" ht="24" customHeight="1">
      <c r="A43" s="91">
        <v>6</v>
      </c>
      <c r="B43" s="92"/>
      <c r="C43" s="93" t="s">
        <v>277</v>
      </c>
      <c r="D43" s="93" t="s">
        <v>48</v>
      </c>
      <c r="E43" s="94" t="s">
        <v>272</v>
      </c>
      <c r="F43" s="95" t="s">
        <v>56</v>
      </c>
      <c r="G43" s="96">
        <v>247000</v>
      </c>
      <c r="H43" s="97">
        <v>247000</v>
      </c>
      <c r="I43" s="98"/>
      <c r="J43" s="98"/>
      <c r="K43" s="99"/>
      <c r="L43" s="98"/>
      <c r="M43" s="98"/>
      <c r="N43" s="99"/>
      <c r="O43" s="98"/>
      <c r="P43" s="98"/>
      <c r="Q43" s="99"/>
    </row>
    <row r="44" spans="1:17" ht="14.45" customHeight="1">
      <c r="A44" s="75">
        <v>7</v>
      </c>
      <c r="B44" s="76"/>
      <c r="C44" s="77" t="s">
        <v>279</v>
      </c>
      <c r="D44" s="77" t="s">
        <v>48</v>
      </c>
      <c r="E44" s="78" t="s">
        <v>272</v>
      </c>
      <c r="F44" s="79" t="s">
        <v>50</v>
      </c>
      <c r="G44" s="79" t="s">
        <v>50</v>
      </c>
      <c r="H44" s="80" t="s">
        <v>50</v>
      </c>
      <c r="I44" s="79"/>
      <c r="J44" s="79"/>
      <c r="K44" s="80"/>
      <c r="L44" s="79"/>
      <c r="M44" s="79"/>
      <c r="N44" s="80"/>
      <c r="O44" s="79"/>
      <c r="P44" s="79"/>
      <c r="Q44" s="80"/>
    </row>
    <row r="45" spans="1:17" ht="60" customHeight="1">
      <c r="A45" s="81">
        <v>7</v>
      </c>
      <c r="B45" s="82"/>
      <c r="C45" s="83" t="s">
        <v>279</v>
      </c>
      <c r="D45" s="83" t="s">
        <v>48</v>
      </c>
      <c r="E45" s="84" t="s">
        <v>272</v>
      </c>
      <c r="F45" s="85"/>
      <c r="G45" s="86" t="s">
        <v>280</v>
      </c>
      <c r="H45" s="87" t="s">
        <v>280</v>
      </c>
      <c r="I45" s="86"/>
      <c r="J45" s="86"/>
      <c r="K45" s="87"/>
      <c r="L45" s="86"/>
      <c r="M45" s="86"/>
      <c r="N45" s="87"/>
      <c r="O45" s="86"/>
      <c r="P45" s="86"/>
      <c r="Q45" s="87"/>
    </row>
    <row r="46" spans="1:17" ht="45" customHeight="1">
      <c r="A46" s="81">
        <v>7</v>
      </c>
      <c r="B46" s="82"/>
      <c r="C46" s="83" t="s">
        <v>279</v>
      </c>
      <c r="D46" s="83" t="s">
        <v>48</v>
      </c>
      <c r="E46" s="84" t="s">
        <v>272</v>
      </c>
      <c r="F46" s="85"/>
      <c r="G46" s="85"/>
      <c r="H46" s="88"/>
      <c r="I46" s="86"/>
      <c r="J46" s="86"/>
      <c r="K46" s="87"/>
      <c r="L46" s="86"/>
      <c r="M46" s="86"/>
      <c r="N46" s="87"/>
      <c r="O46" s="86"/>
      <c r="P46" s="86"/>
      <c r="Q46" s="87"/>
    </row>
    <row r="47" spans="1:17" ht="14.45" customHeight="1">
      <c r="A47" s="81">
        <v>7</v>
      </c>
      <c r="B47" s="82"/>
      <c r="C47" s="83" t="s">
        <v>279</v>
      </c>
      <c r="D47" s="83" t="s">
        <v>48</v>
      </c>
      <c r="E47" s="84" t="s">
        <v>272</v>
      </c>
      <c r="F47" s="89">
        <v>170</v>
      </c>
      <c r="G47" s="89">
        <v>234</v>
      </c>
      <c r="H47" s="90">
        <v>96</v>
      </c>
      <c r="I47" s="86"/>
      <c r="J47" s="86"/>
      <c r="K47" s="87"/>
      <c r="L47" s="86"/>
      <c r="M47" s="86"/>
      <c r="N47" s="87"/>
      <c r="O47" s="86"/>
      <c r="P47" s="86"/>
      <c r="Q47" s="87"/>
    </row>
    <row r="48" spans="1:17" ht="45" customHeight="1">
      <c r="A48" s="81">
        <v>7</v>
      </c>
      <c r="B48" s="82"/>
      <c r="C48" s="83" t="s">
        <v>279</v>
      </c>
      <c r="D48" s="83" t="s">
        <v>48</v>
      </c>
      <c r="E48" s="84" t="s">
        <v>272</v>
      </c>
      <c r="F48" s="85"/>
      <c r="G48" s="85"/>
      <c r="H48" s="88"/>
      <c r="I48" s="86"/>
      <c r="J48" s="86"/>
      <c r="K48" s="87"/>
      <c r="L48" s="86"/>
      <c r="M48" s="86"/>
      <c r="N48" s="87"/>
      <c r="O48" s="86"/>
      <c r="P48" s="86"/>
      <c r="Q48" s="87"/>
    </row>
    <row r="49" spans="1:17" ht="14.45" customHeight="1">
      <c r="A49" s="81">
        <v>7</v>
      </c>
      <c r="B49" s="82"/>
      <c r="C49" s="83" t="s">
        <v>279</v>
      </c>
      <c r="D49" s="83" t="s">
        <v>48</v>
      </c>
      <c r="E49" s="84" t="s">
        <v>272</v>
      </c>
      <c r="F49" s="89">
        <v>76</v>
      </c>
      <c r="G49" s="89">
        <v>50</v>
      </c>
      <c r="H49" s="90">
        <v>17</v>
      </c>
      <c r="I49" s="86"/>
      <c r="J49" s="86"/>
      <c r="K49" s="87"/>
      <c r="L49" s="86"/>
      <c r="M49" s="86"/>
      <c r="N49" s="87"/>
      <c r="O49" s="86"/>
      <c r="P49" s="86"/>
      <c r="Q49" s="87"/>
    </row>
    <row r="50" spans="1:17" ht="24" customHeight="1">
      <c r="A50" s="91">
        <v>7</v>
      </c>
      <c r="B50" s="92"/>
      <c r="C50" s="93" t="s">
        <v>279</v>
      </c>
      <c r="D50" s="93" t="s">
        <v>48</v>
      </c>
      <c r="E50" s="94" t="s">
        <v>272</v>
      </c>
      <c r="F50" s="95" t="s">
        <v>56</v>
      </c>
      <c r="G50" s="96">
        <v>144000</v>
      </c>
      <c r="H50" s="97">
        <v>144000</v>
      </c>
      <c r="I50" s="98"/>
      <c r="J50" s="98"/>
      <c r="K50" s="99"/>
      <c r="L50" s="98"/>
      <c r="M50" s="98"/>
      <c r="N50" s="99"/>
      <c r="O50" s="98"/>
      <c r="P50" s="98"/>
      <c r="Q50" s="99"/>
    </row>
    <row r="51" spans="1:17" ht="14.45" customHeight="1">
      <c r="A51" s="75">
        <v>8</v>
      </c>
      <c r="B51" s="76"/>
      <c r="C51" s="77" t="s">
        <v>281</v>
      </c>
      <c r="D51" s="77" t="s">
        <v>48</v>
      </c>
      <c r="E51" s="78" t="s">
        <v>272</v>
      </c>
      <c r="F51" s="79" t="s">
        <v>50</v>
      </c>
      <c r="G51" s="79" t="s">
        <v>50</v>
      </c>
      <c r="H51" s="80" t="s">
        <v>50</v>
      </c>
      <c r="I51" s="79"/>
      <c r="J51" s="79"/>
      <c r="K51" s="80"/>
      <c r="L51" s="79"/>
      <c r="M51" s="79"/>
      <c r="N51" s="80"/>
      <c r="O51" s="79"/>
      <c r="P51" s="79"/>
      <c r="Q51" s="80"/>
    </row>
    <row r="52" spans="1:17" ht="60" customHeight="1">
      <c r="A52" s="81">
        <v>8</v>
      </c>
      <c r="B52" s="82"/>
      <c r="C52" s="83" t="s">
        <v>281</v>
      </c>
      <c r="D52" s="83" t="s">
        <v>48</v>
      </c>
      <c r="E52" s="84" t="s">
        <v>272</v>
      </c>
      <c r="F52" s="85"/>
      <c r="G52" s="86" t="s">
        <v>282</v>
      </c>
      <c r="H52" s="87" t="s">
        <v>282</v>
      </c>
      <c r="I52" s="86"/>
      <c r="J52" s="86"/>
      <c r="K52" s="87"/>
      <c r="L52" s="86"/>
      <c r="M52" s="86"/>
      <c r="N52" s="87"/>
      <c r="O52" s="86"/>
      <c r="P52" s="86"/>
      <c r="Q52" s="87"/>
    </row>
    <row r="53" spans="1:17" ht="45" customHeight="1">
      <c r="A53" s="81">
        <v>8</v>
      </c>
      <c r="B53" s="82"/>
      <c r="C53" s="83" t="s">
        <v>281</v>
      </c>
      <c r="D53" s="83" t="s">
        <v>48</v>
      </c>
      <c r="E53" s="84" t="s">
        <v>272</v>
      </c>
      <c r="F53" s="85"/>
      <c r="G53" s="85"/>
      <c r="H53" s="88"/>
      <c r="I53" s="86"/>
      <c r="J53" s="86"/>
      <c r="K53" s="87"/>
      <c r="L53" s="86"/>
      <c r="M53" s="86"/>
      <c r="N53" s="87"/>
      <c r="O53" s="86"/>
      <c r="P53" s="86"/>
      <c r="Q53" s="87"/>
    </row>
    <row r="54" spans="1:17" ht="14.45" customHeight="1">
      <c r="A54" s="81">
        <v>8</v>
      </c>
      <c r="B54" s="82"/>
      <c r="C54" s="83" t="s">
        <v>281</v>
      </c>
      <c r="D54" s="83" t="s">
        <v>48</v>
      </c>
      <c r="E54" s="84" t="s">
        <v>272</v>
      </c>
      <c r="F54" s="89">
        <v>170</v>
      </c>
      <c r="G54" s="89">
        <v>234</v>
      </c>
      <c r="H54" s="90">
        <v>96</v>
      </c>
      <c r="I54" s="86"/>
      <c r="J54" s="86"/>
      <c r="K54" s="87"/>
      <c r="L54" s="86"/>
      <c r="M54" s="86"/>
      <c r="N54" s="87"/>
      <c r="O54" s="86"/>
      <c r="P54" s="86"/>
      <c r="Q54" s="87"/>
    </row>
    <row r="55" spans="1:17" ht="45" customHeight="1">
      <c r="A55" s="81">
        <v>8</v>
      </c>
      <c r="B55" s="82"/>
      <c r="C55" s="83" t="s">
        <v>281</v>
      </c>
      <c r="D55" s="83" t="s">
        <v>48</v>
      </c>
      <c r="E55" s="84" t="s">
        <v>272</v>
      </c>
      <c r="F55" s="85"/>
      <c r="G55" s="85"/>
      <c r="H55" s="88"/>
      <c r="I55" s="86"/>
      <c r="J55" s="86"/>
      <c r="K55" s="87"/>
      <c r="L55" s="86"/>
      <c r="M55" s="86"/>
      <c r="N55" s="87"/>
      <c r="O55" s="86"/>
      <c r="P55" s="86"/>
      <c r="Q55" s="87"/>
    </row>
    <row r="56" spans="1:17" ht="14.45" customHeight="1">
      <c r="A56" s="81">
        <v>8</v>
      </c>
      <c r="B56" s="82"/>
      <c r="C56" s="83" t="s">
        <v>281</v>
      </c>
      <c r="D56" s="83" t="s">
        <v>48</v>
      </c>
      <c r="E56" s="84" t="s">
        <v>272</v>
      </c>
      <c r="F56" s="89">
        <v>76</v>
      </c>
      <c r="G56" s="89">
        <v>50</v>
      </c>
      <c r="H56" s="90">
        <v>17</v>
      </c>
      <c r="I56" s="86"/>
      <c r="J56" s="86"/>
      <c r="K56" s="87"/>
      <c r="L56" s="86"/>
      <c r="M56" s="86"/>
      <c r="N56" s="87"/>
      <c r="O56" s="86"/>
      <c r="P56" s="86"/>
      <c r="Q56" s="87"/>
    </row>
    <row r="57" spans="1:17" ht="24" customHeight="1">
      <c r="A57" s="91">
        <v>8</v>
      </c>
      <c r="B57" s="92"/>
      <c r="C57" s="93" t="s">
        <v>281</v>
      </c>
      <c r="D57" s="93" t="s">
        <v>48</v>
      </c>
      <c r="E57" s="94" t="s">
        <v>272</v>
      </c>
      <c r="F57" s="95" t="s">
        <v>56</v>
      </c>
      <c r="G57" s="96">
        <v>144000</v>
      </c>
      <c r="H57" s="97">
        <v>144000</v>
      </c>
      <c r="I57" s="98"/>
      <c r="J57" s="98"/>
      <c r="K57" s="99"/>
      <c r="L57" s="98"/>
      <c r="M57" s="98"/>
      <c r="N57" s="99"/>
      <c r="O57" s="98"/>
      <c r="P57" s="98"/>
      <c r="Q57" s="99"/>
    </row>
    <row r="58" spans="1:17" ht="14.45" customHeight="1">
      <c r="A58" s="75">
        <v>9</v>
      </c>
      <c r="B58" s="76"/>
      <c r="C58" s="100" t="s">
        <v>274</v>
      </c>
      <c r="D58" s="100" t="s">
        <v>117</v>
      </c>
      <c r="E58" s="78" t="s">
        <v>267</v>
      </c>
      <c r="F58" s="79" t="s">
        <v>50</v>
      </c>
      <c r="G58" s="79" t="s">
        <v>50</v>
      </c>
      <c r="H58" s="80" t="s">
        <v>50</v>
      </c>
      <c r="I58" s="79" t="s">
        <v>51</v>
      </c>
      <c r="J58" s="79" t="s">
        <v>51</v>
      </c>
      <c r="K58" s="80" t="s">
        <v>51</v>
      </c>
      <c r="L58" s="79"/>
      <c r="M58" s="79"/>
      <c r="N58" s="80"/>
      <c r="O58" s="79"/>
      <c r="P58" s="79"/>
      <c r="Q58" s="80"/>
    </row>
    <row r="59" spans="1:17" ht="60" customHeight="1">
      <c r="A59" s="81">
        <v>9</v>
      </c>
      <c r="B59" s="82"/>
      <c r="C59" s="101" t="s">
        <v>274</v>
      </c>
      <c r="D59" s="101" t="s">
        <v>117</v>
      </c>
      <c r="E59" s="84" t="s">
        <v>267</v>
      </c>
      <c r="F59" s="85"/>
      <c r="G59" s="86"/>
      <c r="H59" s="87"/>
      <c r="I59" s="85"/>
      <c r="J59" s="86"/>
      <c r="K59" s="87"/>
      <c r="L59" s="86"/>
      <c r="M59" s="86"/>
      <c r="N59" s="87"/>
      <c r="O59" s="86"/>
      <c r="P59" s="86"/>
      <c r="Q59" s="87"/>
    </row>
    <row r="60" spans="1:17" ht="45" customHeight="1">
      <c r="A60" s="81">
        <v>9</v>
      </c>
      <c r="B60" s="82"/>
      <c r="C60" s="101" t="s">
        <v>274</v>
      </c>
      <c r="D60" s="101" t="s">
        <v>117</v>
      </c>
      <c r="E60" s="84" t="s">
        <v>267</v>
      </c>
      <c r="F60" s="85"/>
      <c r="G60" s="85"/>
      <c r="H60" s="88"/>
      <c r="I60" s="85"/>
      <c r="J60" s="85"/>
      <c r="K60" s="88"/>
      <c r="L60" s="86"/>
      <c r="M60" s="86"/>
      <c r="N60" s="87"/>
      <c r="O60" s="86"/>
      <c r="P60" s="86"/>
      <c r="Q60" s="87"/>
    </row>
    <row r="61" spans="1:17" ht="14.45" customHeight="1">
      <c r="A61" s="81">
        <v>9</v>
      </c>
      <c r="B61" s="82"/>
      <c r="C61" s="101" t="s">
        <v>274</v>
      </c>
      <c r="D61" s="101" t="s">
        <v>117</v>
      </c>
      <c r="E61" s="84" t="s">
        <v>267</v>
      </c>
      <c r="F61" s="89">
        <v>274</v>
      </c>
      <c r="G61" s="89">
        <v>129</v>
      </c>
      <c r="H61" s="90">
        <v>109</v>
      </c>
      <c r="I61" s="89">
        <v>6</v>
      </c>
      <c r="J61" s="89">
        <v>249</v>
      </c>
      <c r="K61" s="90">
        <v>48</v>
      </c>
      <c r="L61" s="86"/>
      <c r="M61" s="86"/>
      <c r="N61" s="87"/>
      <c r="O61" s="86"/>
      <c r="P61" s="86"/>
      <c r="Q61" s="87"/>
    </row>
    <row r="62" spans="1:17" ht="45" customHeight="1">
      <c r="A62" s="81">
        <v>9</v>
      </c>
      <c r="B62" s="82"/>
      <c r="C62" s="101" t="s">
        <v>274</v>
      </c>
      <c r="D62" s="101" t="s">
        <v>117</v>
      </c>
      <c r="E62" s="84" t="s">
        <v>267</v>
      </c>
      <c r="F62" s="85"/>
      <c r="G62" s="85"/>
      <c r="H62" s="88"/>
      <c r="I62" s="85"/>
      <c r="J62" s="85"/>
      <c r="K62" s="88"/>
      <c r="L62" s="86"/>
      <c r="M62" s="86"/>
      <c r="N62" s="87"/>
      <c r="O62" s="86"/>
      <c r="P62" s="86"/>
      <c r="Q62" s="87"/>
    </row>
    <row r="63" spans="1:17" ht="14.45" customHeight="1">
      <c r="A63" s="81">
        <v>9</v>
      </c>
      <c r="B63" s="82"/>
      <c r="C63" s="101" t="s">
        <v>274</v>
      </c>
      <c r="D63" s="101" t="s">
        <v>117</v>
      </c>
      <c r="E63" s="84" t="s">
        <v>267</v>
      </c>
      <c r="F63" s="89">
        <v>335</v>
      </c>
      <c r="G63" s="85"/>
      <c r="H63" s="88"/>
      <c r="I63" s="89">
        <v>219</v>
      </c>
      <c r="J63" s="85"/>
      <c r="K63" s="88"/>
      <c r="L63" s="86"/>
      <c r="M63" s="86"/>
      <c r="N63" s="87"/>
      <c r="O63" s="86"/>
      <c r="P63" s="86"/>
      <c r="Q63" s="87"/>
    </row>
    <row r="64" spans="1:17" ht="24" customHeight="1">
      <c r="A64" s="91">
        <v>9</v>
      </c>
      <c r="B64" s="92"/>
      <c r="C64" s="102" t="s">
        <v>274</v>
      </c>
      <c r="D64" s="102" t="s">
        <v>117</v>
      </c>
      <c r="E64" s="94" t="s">
        <v>267</v>
      </c>
      <c r="F64" s="95" t="s">
        <v>56</v>
      </c>
      <c r="G64" s="96">
        <v>173000</v>
      </c>
      <c r="H64" s="97">
        <v>173000</v>
      </c>
      <c r="I64" s="95" t="s">
        <v>56</v>
      </c>
      <c r="J64" s="96">
        <v>173000</v>
      </c>
      <c r="K64" s="97">
        <v>173000</v>
      </c>
      <c r="L64" s="98"/>
      <c r="M64" s="98"/>
      <c r="N64" s="99"/>
      <c r="O64" s="98"/>
      <c r="P64" s="98"/>
      <c r="Q64" s="99"/>
    </row>
    <row r="65" spans="1:17" ht="14.45" customHeight="1">
      <c r="A65" s="75">
        <v>10</v>
      </c>
      <c r="B65" s="76"/>
      <c r="C65" s="100" t="s">
        <v>268</v>
      </c>
      <c r="D65" s="100" t="s">
        <v>117</v>
      </c>
      <c r="E65" s="78" t="s">
        <v>267</v>
      </c>
      <c r="F65" s="79" t="s">
        <v>50</v>
      </c>
      <c r="G65" s="79" t="s">
        <v>50</v>
      </c>
      <c r="H65" s="80" t="s">
        <v>50</v>
      </c>
      <c r="I65" s="79" t="s">
        <v>51</v>
      </c>
      <c r="J65" s="79" t="s">
        <v>51</v>
      </c>
      <c r="K65" s="80" t="s">
        <v>51</v>
      </c>
      <c r="L65" s="79"/>
      <c r="M65" s="79"/>
      <c r="N65" s="80"/>
      <c r="O65" s="79"/>
      <c r="P65" s="79"/>
      <c r="Q65" s="80"/>
    </row>
    <row r="66" spans="1:17" ht="60" customHeight="1">
      <c r="A66" s="81">
        <v>10</v>
      </c>
      <c r="B66" s="82"/>
      <c r="C66" s="101" t="s">
        <v>268</v>
      </c>
      <c r="D66" s="101" t="s">
        <v>117</v>
      </c>
      <c r="E66" s="84" t="s">
        <v>267</v>
      </c>
      <c r="F66" s="85"/>
      <c r="G66" s="86" t="s">
        <v>283</v>
      </c>
      <c r="H66" s="87" t="s">
        <v>283</v>
      </c>
      <c r="I66" s="85"/>
      <c r="J66" s="86" t="s">
        <v>283</v>
      </c>
      <c r="K66" s="87" t="s">
        <v>283</v>
      </c>
      <c r="L66" s="86"/>
      <c r="M66" s="86"/>
      <c r="N66" s="87"/>
      <c r="O66" s="86"/>
      <c r="P66" s="86"/>
      <c r="Q66" s="87"/>
    </row>
    <row r="67" spans="1:17" ht="45" customHeight="1">
      <c r="A67" s="81">
        <v>10</v>
      </c>
      <c r="B67" s="82"/>
      <c r="C67" s="101" t="s">
        <v>268</v>
      </c>
      <c r="D67" s="101" t="s">
        <v>117</v>
      </c>
      <c r="E67" s="84" t="s">
        <v>267</v>
      </c>
      <c r="F67" s="85"/>
      <c r="G67" s="85"/>
      <c r="H67" s="88"/>
      <c r="I67" s="85"/>
      <c r="J67" s="85"/>
      <c r="K67" s="88"/>
      <c r="L67" s="86"/>
      <c r="M67" s="86"/>
      <c r="N67" s="87"/>
      <c r="O67" s="86"/>
      <c r="P67" s="86"/>
      <c r="Q67" s="87"/>
    </row>
    <row r="68" spans="1:17" ht="14.45" customHeight="1">
      <c r="A68" s="81">
        <v>10</v>
      </c>
      <c r="B68" s="82"/>
      <c r="C68" s="101" t="s">
        <v>268</v>
      </c>
      <c r="D68" s="101" t="s">
        <v>117</v>
      </c>
      <c r="E68" s="84" t="s">
        <v>267</v>
      </c>
      <c r="F68" s="89">
        <v>129</v>
      </c>
      <c r="G68" s="89">
        <v>149</v>
      </c>
      <c r="H68" s="90">
        <v>136</v>
      </c>
      <c r="I68" s="89">
        <v>5</v>
      </c>
      <c r="J68" s="89">
        <v>147</v>
      </c>
      <c r="K68" s="90">
        <v>60</v>
      </c>
      <c r="L68" s="86"/>
      <c r="M68" s="86"/>
      <c r="N68" s="87"/>
      <c r="O68" s="86"/>
      <c r="P68" s="86"/>
      <c r="Q68" s="87"/>
    </row>
    <row r="69" spans="1:17" ht="45" customHeight="1">
      <c r="A69" s="81">
        <v>10</v>
      </c>
      <c r="B69" s="82"/>
      <c r="C69" s="101" t="s">
        <v>268</v>
      </c>
      <c r="D69" s="101" t="s">
        <v>117</v>
      </c>
      <c r="E69" s="84" t="s">
        <v>267</v>
      </c>
      <c r="F69" s="85"/>
      <c r="G69" s="85"/>
      <c r="H69" s="88"/>
      <c r="I69" s="85"/>
      <c r="J69" s="85"/>
      <c r="K69" s="88"/>
      <c r="L69" s="86"/>
      <c r="M69" s="86"/>
      <c r="N69" s="87"/>
      <c r="O69" s="86"/>
      <c r="P69" s="86"/>
      <c r="Q69" s="87"/>
    </row>
    <row r="70" spans="1:17" ht="14.45" customHeight="1">
      <c r="A70" s="81">
        <v>10</v>
      </c>
      <c r="B70" s="82"/>
      <c r="C70" s="101" t="s">
        <v>268</v>
      </c>
      <c r="D70" s="101" t="s">
        <v>117</v>
      </c>
      <c r="E70" s="84" t="s">
        <v>267</v>
      </c>
      <c r="F70" s="89">
        <v>359</v>
      </c>
      <c r="G70" s="85"/>
      <c r="H70" s="88"/>
      <c r="I70" s="89">
        <v>213</v>
      </c>
      <c r="J70" s="85"/>
      <c r="K70" s="88"/>
      <c r="L70" s="86"/>
      <c r="M70" s="86"/>
      <c r="N70" s="87"/>
      <c r="O70" s="86"/>
      <c r="P70" s="86"/>
      <c r="Q70" s="87"/>
    </row>
    <row r="71" spans="1:17" ht="24" customHeight="1">
      <c r="A71" s="91">
        <v>10</v>
      </c>
      <c r="B71" s="92"/>
      <c r="C71" s="102" t="s">
        <v>268</v>
      </c>
      <c r="D71" s="102" t="s">
        <v>117</v>
      </c>
      <c r="E71" s="94" t="s">
        <v>267</v>
      </c>
      <c r="F71" s="95" t="s">
        <v>56</v>
      </c>
      <c r="G71" s="96">
        <v>238600</v>
      </c>
      <c r="H71" s="97">
        <v>238600</v>
      </c>
      <c r="I71" s="95" t="s">
        <v>56</v>
      </c>
      <c r="J71" s="96">
        <v>238600</v>
      </c>
      <c r="K71" s="97">
        <v>238600</v>
      </c>
      <c r="L71" s="98"/>
      <c r="M71" s="98"/>
      <c r="N71" s="99"/>
      <c r="O71" s="98"/>
      <c r="P71" s="98"/>
      <c r="Q71" s="99"/>
    </row>
    <row r="72" spans="1:17" ht="14.45" customHeight="1">
      <c r="A72" s="75">
        <v>11</v>
      </c>
      <c r="B72" s="76"/>
      <c r="C72" s="100" t="s">
        <v>284</v>
      </c>
      <c r="D72" s="100" t="s">
        <v>117</v>
      </c>
      <c r="E72" s="78" t="s">
        <v>272</v>
      </c>
      <c r="F72" s="79" t="s">
        <v>50</v>
      </c>
      <c r="G72" s="79" t="s">
        <v>50</v>
      </c>
      <c r="H72" s="80" t="s">
        <v>50</v>
      </c>
      <c r="I72" s="79" t="s">
        <v>51</v>
      </c>
      <c r="J72" s="79" t="s">
        <v>51</v>
      </c>
      <c r="K72" s="80" t="s">
        <v>51</v>
      </c>
      <c r="L72" s="79"/>
      <c r="M72" s="79"/>
      <c r="N72" s="80"/>
      <c r="O72" s="79"/>
      <c r="P72" s="79"/>
      <c r="Q72" s="80"/>
    </row>
    <row r="73" spans="1:17" ht="60" customHeight="1">
      <c r="A73" s="81">
        <v>11</v>
      </c>
      <c r="B73" s="82"/>
      <c r="C73" s="101" t="s">
        <v>284</v>
      </c>
      <c r="D73" s="101" t="s">
        <v>117</v>
      </c>
      <c r="E73" s="84" t="s">
        <v>272</v>
      </c>
      <c r="F73" s="85"/>
      <c r="G73" s="86"/>
      <c r="H73" s="87"/>
      <c r="I73" s="85"/>
      <c r="J73" s="86"/>
      <c r="K73" s="87"/>
      <c r="L73" s="86"/>
      <c r="M73" s="86"/>
      <c r="N73" s="87"/>
      <c r="O73" s="86"/>
      <c r="P73" s="86"/>
      <c r="Q73" s="87"/>
    </row>
    <row r="74" spans="1:17" ht="45" customHeight="1">
      <c r="A74" s="81">
        <v>11</v>
      </c>
      <c r="B74" s="82"/>
      <c r="C74" s="101" t="s">
        <v>284</v>
      </c>
      <c r="D74" s="101" t="s">
        <v>117</v>
      </c>
      <c r="E74" s="84" t="s">
        <v>272</v>
      </c>
      <c r="F74" s="85"/>
      <c r="G74" s="85"/>
      <c r="H74" s="88"/>
      <c r="I74" s="85"/>
      <c r="J74" s="85"/>
      <c r="K74" s="88"/>
      <c r="L74" s="86"/>
      <c r="M74" s="86"/>
      <c r="N74" s="87"/>
      <c r="O74" s="86"/>
      <c r="P74" s="86"/>
      <c r="Q74" s="87"/>
    </row>
    <row r="75" spans="1:17" ht="14.45" customHeight="1">
      <c r="A75" s="81">
        <v>11</v>
      </c>
      <c r="B75" s="82"/>
      <c r="C75" s="101" t="s">
        <v>284</v>
      </c>
      <c r="D75" s="101" t="s">
        <v>117</v>
      </c>
      <c r="E75" s="84" t="s">
        <v>272</v>
      </c>
      <c r="F75" s="89">
        <v>259</v>
      </c>
      <c r="G75" s="89">
        <v>335</v>
      </c>
      <c r="H75" s="90">
        <v>137</v>
      </c>
      <c r="I75" s="89">
        <v>377</v>
      </c>
      <c r="J75" s="89">
        <v>166</v>
      </c>
      <c r="K75" s="90">
        <v>35</v>
      </c>
      <c r="L75" s="86"/>
      <c r="M75" s="86"/>
      <c r="N75" s="87"/>
      <c r="O75" s="86"/>
      <c r="P75" s="86"/>
      <c r="Q75" s="87"/>
    </row>
    <row r="76" spans="1:17" ht="45" customHeight="1">
      <c r="A76" s="81">
        <v>11</v>
      </c>
      <c r="B76" s="82"/>
      <c r="C76" s="101" t="s">
        <v>284</v>
      </c>
      <c r="D76" s="101" t="s">
        <v>117</v>
      </c>
      <c r="E76" s="84" t="s">
        <v>272</v>
      </c>
      <c r="F76" s="85"/>
      <c r="G76" s="85"/>
      <c r="H76" s="88"/>
      <c r="I76" s="85"/>
      <c r="J76" s="85"/>
      <c r="K76" s="88"/>
      <c r="L76" s="86"/>
      <c r="M76" s="86"/>
      <c r="N76" s="87"/>
      <c r="O76" s="86"/>
      <c r="P76" s="86"/>
      <c r="Q76" s="87"/>
    </row>
    <row r="77" spans="1:17" ht="14.45" customHeight="1">
      <c r="A77" s="81">
        <v>11</v>
      </c>
      <c r="B77" s="82"/>
      <c r="C77" s="101" t="s">
        <v>284</v>
      </c>
      <c r="D77" s="101" t="s">
        <v>117</v>
      </c>
      <c r="E77" s="84" t="s">
        <v>272</v>
      </c>
      <c r="F77" s="89">
        <v>109</v>
      </c>
      <c r="G77" s="85"/>
      <c r="H77" s="88"/>
      <c r="I77" s="89">
        <v>11</v>
      </c>
      <c r="J77" s="85"/>
      <c r="K77" s="88"/>
      <c r="L77" s="86"/>
      <c r="M77" s="86"/>
      <c r="N77" s="87"/>
      <c r="O77" s="86"/>
      <c r="P77" s="86"/>
      <c r="Q77" s="87"/>
    </row>
    <row r="78" spans="1:17" ht="24" customHeight="1">
      <c r="A78" s="91">
        <v>11</v>
      </c>
      <c r="B78" s="92"/>
      <c r="C78" s="102" t="s">
        <v>284</v>
      </c>
      <c r="D78" s="102" t="s">
        <v>117</v>
      </c>
      <c r="E78" s="94" t="s">
        <v>272</v>
      </c>
      <c r="F78" s="95" t="s">
        <v>56</v>
      </c>
      <c r="G78" s="96">
        <v>184000</v>
      </c>
      <c r="H78" s="97">
        <v>184000</v>
      </c>
      <c r="I78" s="95" t="s">
        <v>56</v>
      </c>
      <c r="J78" s="96">
        <v>262000</v>
      </c>
      <c r="K78" s="97">
        <v>262000</v>
      </c>
      <c r="L78" s="98"/>
      <c r="M78" s="98"/>
      <c r="N78" s="99"/>
      <c r="O78" s="98"/>
      <c r="P78" s="98"/>
      <c r="Q78" s="99"/>
    </row>
    <row r="79" spans="1:17" ht="14.45" customHeight="1">
      <c r="A79" s="75">
        <v>12</v>
      </c>
      <c r="B79" s="76"/>
      <c r="C79" s="100" t="s">
        <v>285</v>
      </c>
      <c r="D79" s="100" t="s">
        <v>117</v>
      </c>
      <c r="E79" s="78" t="s">
        <v>286</v>
      </c>
      <c r="F79" s="79" t="s">
        <v>50</v>
      </c>
      <c r="G79" s="79" t="s">
        <v>50</v>
      </c>
      <c r="H79" s="80" t="s">
        <v>50</v>
      </c>
      <c r="I79" s="79" t="s">
        <v>51</v>
      </c>
      <c r="J79" s="79" t="s">
        <v>51</v>
      </c>
      <c r="K79" s="80" t="s">
        <v>51</v>
      </c>
      <c r="L79" s="79"/>
      <c r="M79" s="79"/>
      <c r="N79" s="80"/>
      <c r="O79" s="79"/>
      <c r="P79" s="79"/>
      <c r="Q79" s="80"/>
    </row>
    <row r="80" spans="1:17" ht="60" customHeight="1">
      <c r="A80" s="81">
        <v>12</v>
      </c>
      <c r="B80" s="82"/>
      <c r="C80" s="101" t="s">
        <v>285</v>
      </c>
      <c r="D80" s="101" t="s">
        <v>117</v>
      </c>
      <c r="E80" s="84" t="s">
        <v>286</v>
      </c>
      <c r="F80" s="85"/>
      <c r="G80" s="86"/>
      <c r="H80" s="87"/>
      <c r="I80" s="85"/>
      <c r="J80" s="86"/>
      <c r="K80" s="87"/>
      <c r="L80" s="86"/>
      <c r="M80" s="86"/>
      <c r="N80" s="87"/>
      <c r="O80" s="86"/>
      <c r="P80" s="86"/>
      <c r="Q80" s="87"/>
    </row>
    <row r="81" spans="1:17" ht="45" customHeight="1">
      <c r="A81" s="81">
        <v>12</v>
      </c>
      <c r="B81" s="82"/>
      <c r="C81" s="101" t="s">
        <v>285</v>
      </c>
      <c r="D81" s="101" t="s">
        <v>117</v>
      </c>
      <c r="E81" s="84" t="s">
        <v>286</v>
      </c>
      <c r="F81" s="85"/>
      <c r="G81" s="85"/>
      <c r="H81" s="88"/>
      <c r="I81" s="85"/>
      <c r="J81" s="85"/>
      <c r="K81" s="88"/>
      <c r="L81" s="86"/>
      <c r="M81" s="86"/>
      <c r="N81" s="87"/>
      <c r="O81" s="86"/>
      <c r="P81" s="86"/>
      <c r="Q81" s="87"/>
    </row>
    <row r="82" spans="1:17" ht="14.45" customHeight="1">
      <c r="A82" s="81">
        <v>12</v>
      </c>
      <c r="B82" s="82"/>
      <c r="C82" s="101" t="s">
        <v>285</v>
      </c>
      <c r="D82" s="101" t="s">
        <v>117</v>
      </c>
      <c r="E82" s="84" t="s">
        <v>286</v>
      </c>
      <c r="F82" s="89">
        <v>78</v>
      </c>
      <c r="G82" s="89">
        <v>202</v>
      </c>
      <c r="H82" s="90">
        <v>128</v>
      </c>
      <c r="I82" s="89">
        <v>128</v>
      </c>
      <c r="J82" s="89">
        <v>139</v>
      </c>
      <c r="K82" s="90">
        <v>24</v>
      </c>
      <c r="L82" s="86"/>
      <c r="M82" s="86"/>
      <c r="N82" s="87"/>
      <c r="O82" s="86"/>
      <c r="P82" s="86"/>
      <c r="Q82" s="87"/>
    </row>
    <row r="83" spans="1:17" ht="45" customHeight="1">
      <c r="A83" s="81">
        <v>12</v>
      </c>
      <c r="B83" s="82"/>
      <c r="C83" s="101" t="s">
        <v>285</v>
      </c>
      <c r="D83" s="101" t="s">
        <v>117</v>
      </c>
      <c r="E83" s="84" t="s">
        <v>286</v>
      </c>
      <c r="F83" s="85"/>
      <c r="G83" s="85"/>
      <c r="H83" s="88"/>
      <c r="I83" s="85"/>
      <c r="J83" s="85"/>
      <c r="K83" s="88"/>
      <c r="L83" s="86"/>
      <c r="M83" s="86"/>
      <c r="N83" s="87"/>
      <c r="O83" s="86"/>
      <c r="P83" s="86"/>
      <c r="Q83" s="87"/>
    </row>
    <row r="84" spans="1:17" ht="14.45" customHeight="1">
      <c r="A84" s="81">
        <v>12</v>
      </c>
      <c r="B84" s="82"/>
      <c r="C84" s="101" t="s">
        <v>285</v>
      </c>
      <c r="D84" s="101" t="s">
        <v>117</v>
      </c>
      <c r="E84" s="84" t="s">
        <v>286</v>
      </c>
      <c r="F84" s="89">
        <v>66</v>
      </c>
      <c r="G84" s="85"/>
      <c r="H84" s="88"/>
      <c r="I84" s="89">
        <v>5</v>
      </c>
      <c r="J84" s="85"/>
      <c r="K84" s="88"/>
      <c r="L84" s="86"/>
      <c r="M84" s="86"/>
      <c r="N84" s="87"/>
      <c r="O84" s="86"/>
      <c r="P84" s="86"/>
      <c r="Q84" s="87"/>
    </row>
    <row r="85" spans="1:17" ht="24" customHeight="1">
      <c r="A85" s="91">
        <v>12</v>
      </c>
      <c r="B85" s="92"/>
      <c r="C85" s="102" t="s">
        <v>285</v>
      </c>
      <c r="D85" s="102" t="s">
        <v>117</v>
      </c>
      <c r="E85" s="94" t="s">
        <v>286</v>
      </c>
      <c r="F85" s="95" t="s">
        <v>56</v>
      </c>
      <c r="G85" s="96">
        <v>101100</v>
      </c>
      <c r="H85" s="97">
        <v>101100</v>
      </c>
      <c r="I85" s="95" t="s">
        <v>56</v>
      </c>
      <c r="J85" s="96">
        <v>130000</v>
      </c>
      <c r="K85" s="97">
        <v>130000</v>
      </c>
      <c r="L85" s="98"/>
      <c r="M85" s="98"/>
      <c r="N85" s="99"/>
      <c r="O85" s="98"/>
      <c r="P85" s="98"/>
      <c r="Q85" s="99"/>
    </row>
    <row r="86" spans="1:17" ht="14.45" customHeight="1">
      <c r="A86" s="75">
        <v>13</v>
      </c>
      <c r="B86" s="76"/>
      <c r="C86" s="100" t="s">
        <v>287</v>
      </c>
      <c r="D86" s="100" t="s">
        <v>117</v>
      </c>
      <c r="E86" s="78" t="s">
        <v>286</v>
      </c>
      <c r="F86" s="79" t="s">
        <v>50</v>
      </c>
      <c r="G86" s="79" t="s">
        <v>50</v>
      </c>
      <c r="H86" s="80" t="s">
        <v>50</v>
      </c>
      <c r="I86" s="79" t="s">
        <v>51</v>
      </c>
      <c r="J86" s="79" t="s">
        <v>51</v>
      </c>
      <c r="K86" s="80" t="s">
        <v>51</v>
      </c>
      <c r="L86" s="79"/>
      <c r="M86" s="79"/>
      <c r="N86" s="80"/>
      <c r="O86" s="79"/>
      <c r="P86" s="79"/>
      <c r="Q86" s="80"/>
    </row>
    <row r="87" spans="1:17" ht="60" customHeight="1">
      <c r="A87" s="81">
        <v>13</v>
      </c>
      <c r="B87" s="82"/>
      <c r="C87" s="101" t="s">
        <v>287</v>
      </c>
      <c r="D87" s="101" t="s">
        <v>117</v>
      </c>
      <c r="E87" s="84" t="s">
        <v>286</v>
      </c>
      <c r="F87" s="85"/>
      <c r="G87" s="86"/>
      <c r="H87" s="87"/>
      <c r="I87" s="85"/>
      <c r="J87" s="86"/>
      <c r="K87" s="87"/>
      <c r="L87" s="86"/>
      <c r="M87" s="86"/>
      <c r="N87" s="87"/>
      <c r="O87" s="86"/>
      <c r="P87" s="86"/>
      <c r="Q87" s="87"/>
    </row>
    <row r="88" spans="1:17" ht="45" customHeight="1">
      <c r="A88" s="81">
        <v>13</v>
      </c>
      <c r="B88" s="82"/>
      <c r="C88" s="101" t="s">
        <v>287</v>
      </c>
      <c r="D88" s="101" t="s">
        <v>117</v>
      </c>
      <c r="E88" s="84" t="s">
        <v>286</v>
      </c>
      <c r="F88" s="85"/>
      <c r="G88" s="85"/>
      <c r="H88" s="88"/>
      <c r="I88" s="85"/>
      <c r="J88" s="85"/>
      <c r="K88" s="88"/>
      <c r="L88" s="86"/>
      <c r="M88" s="86"/>
      <c r="N88" s="87"/>
      <c r="O88" s="86"/>
      <c r="P88" s="86"/>
      <c r="Q88" s="87"/>
    </row>
    <row r="89" spans="1:17" ht="14.45" customHeight="1">
      <c r="A89" s="81">
        <v>13</v>
      </c>
      <c r="B89" s="82"/>
      <c r="C89" s="101" t="s">
        <v>287</v>
      </c>
      <c r="D89" s="101" t="s">
        <v>117</v>
      </c>
      <c r="E89" s="84" t="s">
        <v>286</v>
      </c>
      <c r="F89" s="89">
        <v>78</v>
      </c>
      <c r="G89" s="89">
        <v>202</v>
      </c>
      <c r="H89" s="90">
        <v>128</v>
      </c>
      <c r="I89" s="89">
        <v>128</v>
      </c>
      <c r="J89" s="89">
        <v>139</v>
      </c>
      <c r="K89" s="90">
        <v>24</v>
      </c>
      <c r="L89" s="86"/>
      <c r="M89" s="86"/>
      <c r="N89" s="87"/>
      <c r="O89" s="86"/>
      <c r="P89" s="86"/>
      <c r="Q89" s="87"/>
    </row>
    <row r="90" spans="1:17" ht="45" customHeight="1">
      <c r="A90" s="81">
        <v>13</v>
      </c>
      <c r="B90" s="82"/>
      <c r="C90" s="101" t="s">
        <v>287</v>
      </c>
      <c r="D90" s="101" t="s">
        <v>117</v>
      </c>
      <c r="E90" s="84" t="s">
        <v>286</v>
      </c>
      <c r="F90" s="85"/>
      <c r="G90" s="85"/>
      <c r="H90" s="88"/>
      <c r="I90" s="85"/>
      <c r="J90" s="85"/>
      <c r="K90" s="88"/>
      <c r="L90" s="86"/>
      <c r="M90" s="86"/>
      <c r="N90" s="87"/>
      <c r="O90" s="86"/>
      <c r="P90" s="86"/>
      <c r="Q90" s="87"/>
    </row>
    <row r="91" spans="1:17" ht="14.45" customHeight="1">
      <c r="A91" s="81">
        <v>13</v>
      </c>
      <c r="B91" s="82"/>
      <c r="C91" s="101" t="s">
        <v>287</v>
      </c>
      <c r="D91" s="101" t="s">
        <v>117</v>
      </c>
      <c r="E91" s="84" t="s">
        <v>286</v>
      </c>
      <c r="F91" s="89">
        <v>66</v>
      </c>
      <c r="G91" s="85"/>
      <c r="H91" s="88"/>
      <c r="I91" s="89">
        <v>5</v>
      </c>
      <c r="J91" s="85"/>
      <c r="K91" s="88"/>
      <c r="L91" s="86"/>
      <c r="M91" s="86"/>
      <c r="N91" s="87"/>
      <c r="O91" s="86"/>
      <c r="P91" s="86"/>
      <c r="Q91" s="87"/>
    </row>
    <row r="92" spans="1:17" ht="24" customHeight="1">
      <c r="A92" s="91">
        <v>13</v>
      </c>
      <c r="B92" s="92"/>
      <c r="C92" s="102" t="s">
        <v>287</v>
      </c>
      <c r="D92" s="102" t="s">
        <v>117</v>
      </c>
      <c r="E92" s="94" t="s">
        <v>286</v>
      </c>
      <c r="F92" s="95" t="s">
        <v>56</v>
      </c>
      <c r="G92" s="96">
        <v>101100</v>
      </c>
      <c r="H92" s="97">
        <v>101100</v>
      </c>
      <c r="I92" s="95" t="s">
        <v>56</v>
      </c>
      <c r="J92" s="96">
        <v>130000</v>
      </c>
      <c r="K92" s="97">
        <v>130000</v>
      </c>
      <c r="L92" s="98"/>
      <c r="M92" s="98"/>
      <c r="N92" s="99"/>
      <c r="O92" s="98"/>
      <c r="P92" s="98"/>
      <c r="Q92" s="99"/>
    </row>
    <row r="93" spans="1:17" ht="14.45" customHeight="1">
      <c r="A93" s="75">
        <v>14</v>
      </c>
      <c r="B93" s="76"/>
      <c r="C93" s="100" t="s">
        <v>288</v>
      </c>
      <c r="D93" s="100" t="s">
        <v>117</v>
      </c>
      <c r="E93" s="78" t="s">
        <v>272</v>
      </c>
      <c r="F93" s="79" t="s">
        <v>50</v>
      </c>
      <c r="G93" s="79" t="s">
        <v>50</v>
      </c>
      <c r="H93" s="80" t="s">
        <v>50</v>
      </c>
      <c r="I93" s="79" t="s">
        <v>51</v>
      </c>
      <c r="J93" s="79" t="s">
        <v>51</v>
      </c>
      <c r="K93" s="80" t="s">
        <v>51</v>
      </c>
      <c r="L93" s="79"/>
      <c r="M93" s="79"/>
      <c r="N93" s="80"/>
      <c r="O93" s="79"/>
      <c r="P93" s="79"/>
      <c r="Q93" s="80"/>
    </row>
    <row r="94" spans="1:17" ht="60" customHeight="1">
      <c r="A94" s="81">
        <v>14</v>
      </c>
      <c r="B94" s="82"/>
      <c r="C94" s="101" t="s">
        <v>288</v>
      </c>
      <c r="D94" s="101" t="s">
        <v>117</v>
      </c>
      <c r="E94" s="84" t="s">
        <v>272</v>
      </c>
      <c r="F94" s="85"/>
      <c r="G94" s="86" t="s">
        <v>289</v>
      </c>
      <c r="H94" s="87" t="s">
        <v>289</v>
      </c>
      <c r="I94" s="85"/>
      <c r="J94" s="86" t="s">
        <v>289</v>
      </c>
      <c r="K94" s="87" t="s">
        <v>289</v>
      </c>
      <c r="L94" s="86"/>
      <c r="M94" s="86"/>
      <c r="N94" s="87"/>
      <c r="O94" s="86"/>
      <c r="P94" s="86"/>
      <c r="Q94" s="87"/>
    </row>
    <row r="95" spans="1:17" ht="45" customHeight="1">
      <c r="A95" s="81">
        <v>14</v>
      </c>
      <c r="B95" s="82"/>
      <c r="C95" s="101" t="s">
        <v>288</v>
      </c>
      <c r="D95" s="101" t="s">
        <v>117</v>
      </c>
      <c r="E95" s="84" t="s">
        <v>272</v>
      </c>
      <c r="F95" s="85"/>
      <c r="G95" s="85"/>
      <c r="H95" s="88"/>
      <c r="I95" s="85"/>
      <c r="J95" s="85"/>
      <c r="K95" s="88"/>
      <c r="L95" s="86"/>
      <c r="M95" s="86"/>
      <c r="N95" s="87"/>
      <c r="O95" s="86"/>
      <c r="P95" s="86"/>
      <c r="Q95" s="87"/>
    </row>
    <row r="96" spans="1:17" ht="14.45" customHeight="1">
      <c r="A96" s="81">
        <v>14</v>
      </c>
      <c r="B96" s="82"/>
      <c r="C96" s="101" t="s">
        <v>288</v>
      </c>
      <c r="D96" s="101" t="s">
        <v>117</v>
      </c>
      <c r="E96" s="84" t="s">
        <v>272</v>
      </c>
      <c r="F96" s="89">
        <v>154</v>
      </c>
      <c r="G96" s="89">
        <v>199</v>
      </c>
      <c r="H96" s="90">
        <v>81</v>
      </c>
      <c r="I96" s="89">
        <v>224</v>
      </c>
      <c r="J96" s="89">
        <v>99</v>
      </c>
      <c r="K96" s="90">
        <v>21</v>
      </c>
      <c r="L96" s="86"/>
      <c r="M96" s="86"/>
      <c r="N96" s="87"/>
      <c r="O96" s="86"/>
      <c r="P96" s="86"/>
      <c r="Q96" s="87"/>
    </row>
    <row r="97" spans="1:17" ht="45" customHeight="1">
      <c r="A97" s="81">
        <v>14</v>
      </c>
      <c r="B97" s="82"/>
      <c r="C97" s="101" t="s">
        <v>288</v>
      </c>
      <c r="D97" s="101" t="s">
        <v>117</v>
      </c>
      <c r="E97" s="84" t="s">
        <v>272</v>
      </c>
      <c r="F97" s="85"/>
      <c r="G97" s="85"/>
      <c r="H97" s="88"/>
      <c r="I97" s="85"/>
      <c r="J97" s="85"/>
      <c r="K97" s="88"/>
      <c r="L97" s="86"/>
      <c r="M97" s="86"/>
      <c r="N97" s="87"/>
      <c r="O97" s="86"/>
      <c r="P97" s="86"/>
      <c r="Q97" s="87"/>
    </row>
    <row r="98" spans="1:17" ht="14.45" customHeight="1">
      <c r="A98" s="81">
        <v>14</v>
      </c>
      <c r="B98" s="82"/>
      <c r="C98" s="101" t="s">
        <v>288</v>
      </c>
      <c r="D98" s="101" t="s">
        <v>117</v>
      </c>
      <c r="E98" s="84" t="s">
        <v>272</v>
      </c>
      <c r="F98" s="89">
        <v>64</v>
      </c>
      <c r="G98" s="85"/>
      <c r="H98" s="88"/>
      <c r="I98" s="89">
        <v>7</v>
      </c>
      <c r="J98" s="85"/>
      <c r="K98" s="88"/>
      <c r="L98" s="86"/>
      <c r="M98" s="86"/>
      <c r="N98" s="87"/>
      <c r="O98" s="86"/>
      <c r="P98" s="86"/>
      <c r="Q98" s="87"/>
    </row>
    <row r="99" spans="1:17" ht="24" customHeight="1">
      <c r="A99" s="91">
        <v>14</v>
      </c>
      <c r="B99" s="92"/>
      <c r="C99" s="102" t="s">
        <v>288</v>
      </c>
      <c r="D99" s="102" t="s">
        <v>117</v>
      </c>
      <c r="E99" s="94" t="s">
        <v>272</v>
      </c>
      <c r="F99" s="95" t="s">
        <v>56</v>
      </c>
      <c r="G99" s="96">
        <v>109000</v>
      </c>
      <c r="H99" s="97">
        <v>109000</v>
      </c>
      <c r="I99" s="95" t="s">
        <v>56</v>
      </c>
      <c r="J99" s="96">
        <v>158000</v>
      </c>
      <c r="K99" s="97">
        <v>158000</v>
      </c>
      <c r="L99" s="98"/>
      <c r="M99" s="98"/>
      <c r="N99" s="99"/>
      <c r="O99" s="98"/>
      <c r="P99" s="98"/>
      <c r="Q99" s="99"/>
    </row>
    <row r="100" spans="1:17" ht="14.45" customHeight="1">
      <c r="A100" s="75">
        <v>15</v>
      </c>
      <c r="B100" s="76"/>
      <c r="C100" s="100" t="s">
        <v>290</v>
      </c>
      <c r="D100" s="100" t="s">
        <v>117</v>
      </c>
      <c r="E100" s="78" t="s">
        <v>272</v>
      </c>
      <c r="F100" s="79" t="s">
        <v>50</v>
      </c>
      <c r="G100" s="79" t="s">
        <v>50</v>
      </c>
      <c r="H100" s="80" t="s">
        <v>50</v>
      </c>
      <c r="I100" s="79" t="s">
        <v>51</v>
      </c>
      <c r="J100" s="79" t="s">
        <v>51</v>
      </c>
      <c r="K100" s="80" t="s">
        <v>51</v>
      </c>
      <c r="L100" s="79" t="s">
        <v>52</v>
      </c>
      <c r="M100" s="79" t="s">
        <v>52</v>
      </c>
      <c r="N100" s="80" t="s">
        <v>52</v>
      </c>
      <c r="O100" s="79" t="s">
        <v>53</v>
      </c>
      <c r="P100" s="79" t="s">
        <v>53</v>
      </c>
      <c r="Q100" s="80" t="s">
        <v>53</v>
      </c>
    </row>
    <row r="101" spans="1:17" ht="60" customHeight="1">
      <c r="A101" s="81">
        <v>15</v>
      </c>
      <c r="B101" s="82"/>
      <c r="C101" s="101" t="s">
        <v>290</v>
      </c>
      <c r="D101" s="101" t="s">
        <v>117</v>
      </c>
      <c r="E101" s="84" t="s">
        <v>272</v>
      </c>
      <c r="F101" s="85"/>
      <c r="G101" s="86" t="s">
        <v>290</v>
      </c>
      <c r="H101" s="87" t="s">
        <v>290</v>
      </c>
      <c r="I101" s="85"/>
      <c r="J101" s="86" t="s">
        <v>291</v>
      </c>
      <c r="K101" s="87" t="s">
        <v>291</v>
      </c>
      <c r="L101" s="85"/>
      <c r="M101" s="86" t="s">
        <v>290</v>
      </c>
      <c r="N101" s="87" t="s">
        <v>290</v>
      </c>
      <c r="O101" s="85"/>
      <c r="P101" s="86" t="s">
        <v>291</v>
      </c>
      <c r="Q101" s="87" t="s">
        <v>291</v>
      </c>
    </row>
    <row r="102" spans="1:17" ht="45" customHeight="1">
      <c r="A102" s="81">
        <v>15</v>
      </c>
      <c r="B102" s="82"/>
      <c r="C102" s="101" t="s">
        <v>290</v>
      </c>
      <c r="D102" s="101" t="s">
        <v>117</v>
      </c>
      <c r="E102" s="84" t="s">
        <v>272</v>
      </c>
      <c r="F102" s="85"/>
      <c r="G102" s="85"/>
      <c r="H102" s="88"/>
      <c r="I102" s="85"/>
      <c r="J102" s="85"/>
      <c r="K102" s="88"/>
      <c r="L102" s="85"/>
      <c r="M102" s="85"/>
      <c r="N102" s="88"/>
      <c r="O102" s="85"/>
      <c r="P102" s="85"/>
      <c r="Q102" s="88"/>
    </row>
    <row r="103" spans="1:17" ht="14.45" customHeight="1">
      <c r="A103" s="81">
        <v>15</v>
      </c>
      <c r="B103" s="82"/>
      <c r="C103" s="101" t="s">
        <v>290</v>
      </c>
      <c r="D103" s="101" t="s">
        <v>117</v>
      </c>
      <c r="E103" s="84" t="s">
        <v>272</v>
      </c>
      <c r="F103" s="89">
        <v>154</v>
      </c>
      <c r="G103" s="89">
        <v>199</v>
      </c>
      <c r="H103" s="90">
        <v>81</v>
      </c>
      <c r="I103" s="89">
        <v>154</v>
      </c>
      <c r="J103" s="89">
        <v>199</v>
      </c>
      <c r="K103" s="90">
        <v>81</v>
      </c>
      <c r="L103" s="89">
        <v>224</v>
      </c>
      <c r="M103" s="89">
        <v>99</v>
      </c>
      <c r="N103" s="90">
        <v>21</v>
      </c>
      <c r="O103" s="89">
        <v>224</v>
      </c>
      <c r="P103" s="89">
        <v>99</v>
      </c>
      <c r="Q103" s="90">
        <v>21</v>
      </c>
    </row>
    <row r="104" spans="1:17" ht="45" customHeight="1">
      <c r="A104" s="81">
        <v>15</v>
      </c>
      <c r="B104" s="82"/>
      <c r="C104" s="101" t="s">
        <v>290</v>
      </c>
      <c r="D104" s="101" t="s">
        <v>117</v>
      </c>
      <c r="E104" s="84" t="s">
        <v>272</v>
      </c>
      <c r="F104" s="85"/>
      <c r="G104" s="85"/>
      <c r="H104" s="88"/>
      <c r="I104" s="85"/>
      <c r="J104" s="85"/>
      <c r="K104" s="88"/>
      <c r="L104" s="85"/>
      <c r="M104" s="85"/>
      <c r="N104" s="88"/>
      <c r="O104" s="85"/>
      <c r="P104" s="85"/>
      <c r="Q104" s="88"/>
    </row>
    <row r="105" spans="1:17" ht="14.45" customHeight="1">
      <c r="A105" s="81">
        <v>15</v>
      </c>
      <c r="B105" s="82"/>
      <c r="C105" s="101" t="s">
        <v>290</v>
      </c>
      <c r="D105" s="101" t="s">
        <v>117</v>
      </c>
      <c r="E105" s="84" t="s">
        <v>272</v>
      </c>
      <c r="F105" s="89">
        <v>64</v>
      </c>
      <c r="G105" s="85"/>
      <c r="H105" s="88"/>
      <c r="I105" s="89">
        <v>64</v>
      </c>
      <c r="J105" s="85"/>
      <c r="K105" s="88"/>
      <c r="L105" s="89">
        <v>7</v>
      </c>
      <c r="M105" s="85"/>
      <c r="N105" s="88"/>
      <c r="O105" s="89">
        <v>7</v>
      </c>
      <c r="P105" s="85"/>
      <c r="Q105" s="88"/>
    </row>
    <row r="106" spans="1:17" ht="24" customHeight="1">
      <c r="A106" s="91">
        <v>15</v>
      </c>
      <c r="B106" s="92"/>
      <c r="C106" s="102" t="s">
        <v>290</v>
      </c>
      <c r="D106" s="102" t="s">
        <v>117</v>
      </c>
      <c r="E106" s="94" t="s">
        <v>272</v>
      </c>
      <c r="F106" s="95" t="s">
        <v>56</v>
      </c>
      <c r="G106" s="96">
        <v>109000</v>
      </c>
      <c r="H106" s="97">
        <v>109000</v>
      </c>
      <c r="I106" s="95" t="s">
        <v>56</v>
      </c>
      <c r="J106" s="96">
        <v>109000</v>
      </c>
      <c r="K106" s="97">
        <v>109000</v>
      </c>
      <c r="L106" s="95" t="s">
        <v>56</v>
      </c>
      <c r="M106" s="96">
        <v>158000</v>
      </c>
      <c r="N106" s="97">
        <v>158000</v>
      </c>
      <c r="O106" s="95" t="s">
        <v>56</v>
      </c>
      <c r="P106" s="96">
        <v>158000</v>
      </c>
      <c r="Q106" s="97">
        <v>158000</v>
      </c>
    </row>
    <row r="107" spans="1:17" ht="14.45" customHeight="1">
      <c r="A107" s="75">
        <v>16</v>
      </c>
      <c r="B107" s="76"/>
      <c r="C107" s="100" t="s">
        <v>282</v>
      </c>
      <c r="D107" s="100" t="s">
        <v>117</v>
      </c>
      <c r="E107" s="78" t="s">
        <v>272</v>
      </c>
      <c r="F107" s="79" t="s">
        <v>50</v>
      </c>
      <c r="G107" s="79" t="s">
        <v>50</v>
      </c>
      <c r="H107" s="80" t="s">
        <v>50</v>
      </c>
      <c r="I107" s="79" t="s">
        <v>51</v>
      </c>
      <c r="J107" s="79" t="s">
        <v>51</v>
      </c>
      <c r="K107" s="80" t="s">
        <v>51</v>
      </c>
      <c r="L107" s="79"/>
      <c r="M107" s="79"/>
      <c r="N107" s="80"/>
      <c r="O107" s="79"/>
      <c r="P107" s="79"/>
      <c r="Q107" s="80"/>
    </row>
    <row r="108" spans="1:17" ht="60" customHeight="1">
      <c r="A108" s="81">
        <v>16</v>
      </c>
      <c r="B108" s="82"/>
      <c r="C108" s="101" t="s">
        <v>282</v>
      </c>
      <c r="D108" s="101" t="s">
        <v>117</v>
      </c>
      <c r="E108" s="84" t="s">
        <v>272</v>
      </c>
      <c r="F108" s="85"/>
      <c r="G108" s="86" t="s">
        <v>276</v>
      </c>
      <c r="H108" s="87" t="s">
        <v>276</v>
      </c>
      <c r="I108" s="85"/>
      <c r="J108" s="86" t="s">
        <v>276</v>
      </c>
      <c r="K108" s="87" t="s">
        <v>276</v>
      </c>
      <c r="L108" s="86"/>
      <c r="M108" s="86"/>
      <c r="N108" s="87"/>
      <c r="O108" s="86"/>
      <c r="P108" s="86"/>
      <c r="Q108" s="87"/>
    </row>
    <row r="109" spans="1:17" ht="45" customHeight="1">
      <c r="A109" s="81">
        <v>16</v>
      </c>
      <c r="B109" s="82"/>
      <c r="C109" s="101" t="s">
        <v>282</v>
      </c>
      <c r="D109" s="101" t="s">
        <v>117</v>
      </c>
      <c r="E109" s="84" t="s">
        <v>272</v>
      </c>
      <c r="F109" s="85"/>
      <c r="G109" s="85"/>
      <c r="H109" s="88"/>
      <c r="I109" s="85"/>
      <c r="J109" s="85"/>
      <c r="K109" s="88"/>
      <c r="L109" s="86"/>
      <c r="M109" s="86"/>
      <c r="N109" s="87"/>
      <c r="O109" s="86"/>
      <c r="P109" s="86"/>
      <c r="Q109" s="87"/>
    </row>
    <row r="110" spans="1:17" ht="14.45" customHeight="1">
      <c r="A110" s="81">
        <v>16</v>
      </c>
      <c r="B110" s="82"/>
      <c r="C110" s="101" t="s">
        <v>282</v>
      </c>
      <c r="D110" s="101" t="s">
        <v>117</v>
      </c>
      <c r="E110" s="84" t="s">
        <v>272</v>
      </c>
      <c r="F110" s="89">
        <v>154</v>
      </c>
      <c r="G110" s="89">
        <v>199</v>
      </c>
      <c r="H110" s="90">
        <v>81</v>
      </c>
      <c r="I110" s="89">
        <v>224</v>
      </c>
      <c r="J110" s="89">
        <v>99</v>
      </c>
      <c r="K110" s="90">
        <v>21</v>
      </c>
      <c r="L110" s="86"/>
      <c r="M110" s="86"/>
      <c r="N110" s="87"/>
      <c r="O110" s="86"/>
      <c r="P110" s="86"/>
      <c r="Q110" s="87"/>
    </row>
    <row r="111" spans="1:17" ht="45" customHeight="1">
      <c r="A111" s="81">
        <v>16</v>
      </c>
      <c r="B111" s="82"/>
      <c r="C111" s="101" t="s">
        <v>282</v>
      </c>
      <c r="D111" s="101" t="s">
        <v>117</v>
      </c>
      <c r="E111" s="84" t="s">
        <v>272</v>
      </c>
      <c r="F111" s="85"/>
      <c r="G111" s="85"/>
      <c r="H111" s="88"/>
      <c r="I111" s="85"/>
      <c r="J111" s="85"/>
      <c r="K111" s="88"/>
      <c r="L111" s="86"/>
      <c r="M111" s="86"/>
      <c r="N111" s="87"/>
      <c r="O111" s="86"/>
      <c r="P111" s="86"/>
      <c r="Q111" s="87"/>
    </row>
    <row r="112" spans="1:17" ht="14.45" customHeight="1">
      <c r="A112" s="81">
        <v>16</v>
      </c>
      <c r="B112" s="82"/>
      <c r="C112" s="101" t="s">
        <v>282</v>
      </c>
      <c r="D112" s="101" t="s">
        <v>117</v>
      </c>
      <c r="E112" s="84" t="s">
        <v>272</v>
      </c>
      <c r="F112" s="89">
        <v>64</v>
      </c>
      <c r="G112" s="85"/>
      <c r="H112" s="88"/>
      <c r="I112" s="89">
        <v>7</v>
      </c>
      <c r="J112" s="85"/>
      <c r="K112" s="88"/>
      <c r="L112" s="86"/>
      <c r="M112" s="86"/>
      <c r="N112" s="87"/>
      <c r="O112" s="86"/>
      <c r="P112" s="86"/>
      <c r="Q112" s="87"/>
    </row>
    <row r="113" spans="1:17" ht="24" customHeight="1">
      <c r="A113" s="91">
        <v>16</v>
      </c>
      <c r="B113" s="92"/>
      <c r="C113" s="102" t="s">
        <v>282</v>
      </c>
      <c r="D113" s="102" t="s">
        <v>117</v>
      </c>
      <c r="E113" s="94" t="s">
        <v>272</v>
      </c>
      <c r="F113" s="95" t="s">
        <v>56</v>
      </c>
      <c r="G113" s="96">
        <v>109000</v>
      </c>
      <c r="H113" s="97">
        <v>109000</v>
      </c>
      <c r="I113" s="95" t="s">
        <v>56</v>
      </c>
      <c r="J113" s="96">
        <v>158000</v>
      </c>
      <c r="K113" s="97">
        <v>158000</v>
      </c>
      <c r="L113" s="98"/>
      <c r="M113" s="98"/>
      <c r="N113" s="99"/>
      <c r="O113" s="98"/>
      <c r="P113" s="98"/>
      <c r="Q113" s="99"/>
    </row>
    <row r="114" spans="1:17" ht="14.45" customHeight="1">
      <c r="A114" s="75">
        <v>17</v>
      </c>
      <c r="B114" s="76"/>
      <c r="C114" s="100" t="s">
        <v>292</v>
      </c>
      <c r="D114" s="100" t="s">
        <v>117</v>
      </c>
      <c r="E114" s="78" t="s">
        <v>272</v>
      </c>
      <c r="F114" s="79" t="s">
        <v>50</v>
      </c>
      <c r="G114" s="79" t="s">
        <v>50</v>
      </c>
      <c r="H114" s="80" t="s">
        <v>50</v>
      </c>
      <c r="I114" s="79" t="s">
        <v>51</v>
      </c>
      <c r="J114" s="79" t="s">
        <v>51</v>
      </c>
      <c r="K114" s="80" t="s">
        <v>51</v>
      </c>
      <c r="L114" s="79"/>
      <c r="M114" s="79"/>
      <c r="N114" s="80"/>
      <c r="O114" s="79"/>
      <c r="P114" s="79"/>
      <c r="Q114" s="80"/>
    </row>
    <row r="115" spans="1:17" ht="60" customHeight="1">
      <c r="A115" s="81">
        <v>17</v>
      </c>
      <c r="B115" s="82"/>
      <c r="C115" s="101" t="s">
        <v>292</v>
      </c>
      <c r="D115" s="101" t="s">
        <v>117</v>
      </c>
      <c r="E115" s="84" t="s">
        <v>272</v>
      </c>
      <c r="F115" s="85"/>
      <c r="G115" s="86" t="s">
        <v>293</v>
      </c>
      <c r="H115" s="87" t="s">
        <v>293</v>
      </c>
      <c r="I115" s="85"/>
      <c r="J115" s="86" t="s">
        <v>293</v>
      </c>
      <c r="K115" s="87" t="s">
        <v>293</v>
      </c>
      <c r="L115" s="86"/>
      <c r="M115" s="86"/>
      <c r="N115" s="87"/>
      <c r="O115" s="86"/>
      <c r="P115" s="86"/>
      <c r="Q115" s="87"/>
    </row>
    <row r="116" spans="1:17" ht="45" customHeight="1">
      <c r="A116" s="81">
        <v>17</v>
      </c>
      <c r="B116" s="82"/>
      <c r="C116" s="101" t="s">
        <v>292</v>
      </c>
      <c r="D116" s="101" t="s">
        <v>117</v>
      </c>
      <c r="E116" s="84" t="s">
        <v>272</v>
      </c>
      <c r="F116" s="85"/>
      <c r="G116" s="85"/>
      <c r="H116" s="88"/>
      <c r="I116" s="85"/>
      <c r="J116" s="85"/>
      <c r="K116" s="88"/>
      <c r="L116" s="86"/>
      <c r="M116" s="86"/>
      <c r="N116" s="87"/>
      <c r="O116" s="86"/>
      <c r="P116" s="86"/>
      <c r="Q116" s="87"/>
    </row>
    <row r="117" spans="1:17" ht="14.45" customHeight="1">
      <c r="A117" s="81">
        <v>17</v>
      </c>
      <c r="B117" s="82"/>
      <c r="C117" s="101" t="s">
        <v>292</v>
      </c>
      <c r="D117" s="101" t="s">
        <v>117</v>
      </c>
      <c r="E117" s="84" t="s">
        <v>272</v>
      </c>
      <c r="F117" s="89">
        <v>154</v>
      </c>
      <c r="G117" s="89">
        <v>199</v>
      </c>
      <c r="H117" s="90">
        <v>81</v>
      </c>
      <c r="I117" s="89">
        <v>224</v>
      </c>
      <c r="J117" s="89">
        <v>99</v>
      </c>
      <c r="K117" s="90">
        <v>21</v>
      </c>
      <c r="L117" s="86"/>
      <c r="M117" s="86"/>
      <c r="N117" s="87"/>
      <c r="O117" s="86"/>
      <c r="P117" s="86"/>
      <c r="Q117" s="87"/>
    </row>
    <row r="118" spans="1:17" ht="45" customHeight="1">
      <c r="A118" s="81">
        <v>17</v>
      </c>
      <c r="B118" s="82"/>
      <c r="C118" s="101" t="s">
        <v>292</v>
      </c>
      <c r="D118" s="101" t="s">
        <v>117</v>
      </c>
      <c r="E118" s="84" t="s">
        <v>272</v>
      </c>
      <c r="F118" s="85"/>
      <c r="G118" s="85"/>
      <c r="H118" s="88"/>
      <c r="I118" s="85"/>
      <c r="J118" s="85"/>
      <c r="K118" s="88"/>
      <c r="L118" s="86"/>
      <c r="M118" s="86"/>
      <c r="N118" s="87"/>
      <c r="O118" s="86"/>
      <c r="P118" s="86"/>
      <c r="Q118" s="87"/>
    </row>
    <row r="119" spans="1:17" ht="14.45" customHeight="1">
      <c r="A119" s="81">
        <v>17</v>
      </c>
      <c r="B119" s="82"/>
      <c r="C119" s="101" t="s">
        <v>292</v>
      </c>
      <c r="D119" s="101" t="s">
        <v>117</v>
      </c>
      <c r="E119" s="84" t="s">
        <v>272</v>
      </c>
      <c r="F119" s="89">
        <v>64</v>
      </c>
      <c r="G119" s="85"/>
      <c r="H119" s="88"/>
      <c r="I119" s="89">
        <v>7</v>
      </c>
      <c r="J119" s="85"/>
      <c r="K119" s="88"/>
      <c r="L119" s="86"/>
      <c r="M119" s="86"/>
      <c r="N119" s="87"/>
      <c r="O119" s="86"/>
      <c r="P119" s="86"/>
      <c r="Q119" s="87"/>
    </row>
    <row r="120" spans="1:17" ht="24" customHeight="1">
      <c r="A120" s="91">
        <v>17</v>
      </c>
      <c r="B120" s="92"/>
      <c r="C120" s="102" t="s">
        <v>292</v>
      </c>
      <c r="D120" s="102" t="s">
        <v>117</v>
      </c>
      <c r="E120" s="94" t="s">
        <v>272</v>
      </c>
      <c r="F120" s="95" t="s">
        <v>56</v>
      </c>
      <c r="G120" s="96">
        <v>109000</v>
      </c>
      <c r="H120" s="97">
        <v>109000</v>
      </c>
      <c r="I120" s="95" t="s">
        <v>56</v>
      </c>
      <c r="J120" s="96">
        <v>158000</v>
      </c>
      <c r="K120" s="97">
        <v>158000</v>
      </c>
      <c r="L120" s="98"/>
      <c r="M120" s="98"/>
      <c r="N120" s="99"/>
      <c r="O120" s="98"/>
      <c r="P120" s="98"/>
      <c r="Q120" s="99"/>
    </row>
    <row r="121" spans="1:17" ht="14.45" customHeight="1">
      <c r="A121" s="75">
        <v>18</v>
      </c>
      <c r="B121" s="76"/>
      <c r="C121" s="100" t="s">
        <v>294</v>
      </c>
      <c r="D121" s="100" t="s">
        <v>117</v>
      </c>
      <c r="E121" s="78" t="s">
        <v>272</v>
      </c>
      <c r="F121" s="79" t="s">
        <v>50</v>
      </c>
      <c r="G121" s="79" t="s">
        <v>50</v>
      </c>
      <c r="H121" s="80" t="s">
        <v>50</v>
      </c>
      <c r="I121" s="79" t="s">
        <v>51</v>
      </c>
      <c r="J121" s="79" t="s">
        <v>51</v>
      </c>
      <c r="K121" s="80" t="s">
        <v>51</v>
      </c>
      <c r="L121" s="79"/>
      <c r="M121" s="79"/>
      <c r="N121" s="80"/>
      <c r="O121" s="79"/>
      <c r="P121" s="79"/>
      <c r="Q121" s="80"/>
    </row>
    <row r="122" spans="1:17" ht="60" customHeight="1">
      <c r="A122" s="81">
        <v>18</v>
      </c>
      <c r="B122" s="82"/>
      <c r="C122" s="101" t="s">
        <v>294</v>
      </c>
      <c r="D122" s="101" t="s">
        <v>117</v>
      </c>
      <c r="E122" s="84" t="s">
        <v>272</v>
      </c>
      <c r="F122" s="85"/>
      <c r="G122" s="86" t="s">
        <v>295</v>
      </c>
      <c r="H122" s="87" t="s">
        <v>295</v>
      </c>
      <c r="I122" s="85"/>
      <c r="J122" s="86" t="s">
        <v>295</v>
      </c>
      <c r="K122" s="87" t="s">
        <v>295</v>
      </c>
      <c r="L122" s="86"/>
      <c r="M122" s="86"/>
      <c r="N122" s="87"/>
      <c r="O122" s="86"/>
      <c r="P122" s="86"/>
      <c r="Q122" s="87"/>
    </row>
    <row r="123" spans="1:17" ht="45" customHeight="1">
      <c r="A123" s="81">
        <v>18</v>
      </c>
      <c r="B123" s="82"/>
      <c r="C123" s="101" t="s">
        <v>294</v>
      </c>
      <c r="D123" s="101" t="s">
        <v>117</v>
      </c>
      <c r="E123" s="84" t="s">
        <v>272</v>
      </c>
      <c r="F123" s="85"/>
      <c r="G123" s="85"/>
      <c r="H123" s="88"/>
      <c r="I123" s="85"/>
      <c r="J123" s="85"/>
      <c r="K123" s="88"/>
      <c r="L123" s="86"/>
      <c r="M123" s="86"/>
      <c r="N123" s="87"/>
      <c r="O123" s="86"/>
      <c r="P123" s="86"/>
      <c r="Q123" s="87"/>
    </row>
    <row r="124" spans="1:17" ht="14.45" customHeight="1">
      <c r="A124" s="81">
        <v>18</v>
      </c>
      <c r="B124" s="82"/>
      <c r="C124" s="101" t="s">
        <v>294</v>
      </c>
      <c r="D124" s="101" t="s">
        <v>117</v>
      </c>
      <c r="E124" s="84" t="s">
        <v>272</v>
      </c>
      <c r="F124" s="89">
        <v>154</v>
      </c>
      <c r="G124" s="89">
        <v>199</v>
      </c>
      <c r="H124" s="90">
        <v>81</v>
      </c>
      <c r="I124" s="89">
        <v>224</v>
      </c>
      <c r="J124" s="89">
        <v>99</v>
      </c>
      <c r="K124" s="90">
        <v>21</v>
      </c>
      <c r="L124" s="86"/>
      <c r="M124" s="86"/>
      <c r="N124" s="87"/>
      <c r="O124" s="86"/>
      <c r="P124" s="86"/>
      <c r="Q124" s="87"/>
    </row>
    <row r="125" spans="1:17" ht="45" customHeight="1">
      <c r="A125" s="81">
        <v>18</v>
      </c>
      <c r="B125" s="82"/>
      <c r="C125" s="101" t="s">
        <v>294</v>
      </c>
      <c r="D125" s="101" t="s">
        <v>117</v>
      </c>
      <c r="E125" s="84" t="s">
        <v>272</v>
      </c>
      <c r="F125" s="85"/>
      <c r="G125" s="85"/>
      <c r="H125" s="88"/>
      <c r="I125" s="85"/>
      <c r="J125" s="85"/>
      <c r="K125" s="88"/>
      <c r="L125" s="86"/>
      <c r="M125" s="86"/>
      <c r="N125" s="87"/>
      <c r="O125" s="86"/>
      <c r="P125" s="86"/>
      <c r="Q125" s="87"/>
    </row>
    <row r="126" spans="1:17" ht="14.45" customHeight="1">
      <c r="A126" s="81">
        <v>18</v>
      </c>
      <c r="B126" s="82"/>
      <c r="C126" s="101" t="s">
        <v>294</v>
      </c>
      <c r="D126" s="101" t="s">
        <v>117</v>
      </c>
      <c r="E126" s="84" t="s">
        <v>272</v>
      </c>
      <c r="F126" s="89">
        <v>64</v>
      </c>
      <c r="G126" s="85"/>
      <c r="H126" s="88"/>
      <c r="I126" s="89">
        <v>7</v>
      </c>
      <c r="J126" s="85"/>
      <c r="K126" s="88"/>
      <c r="L126" s="86"/>
      <c r="M126" s="86"/>
      <c r="N126" s="87"/>
      <c r="O126" s="86"/>
      <c r="P126" s="86"/>
      <c r="Q126" s="87"/>
    </row>
    <row r="127" spans="1:17" ht="24" customHeight="1">
      <c r="A127" s="91">
        <v>18</v>
      </c>
      <c r="B127" s="92"/>
      <c r="C127" s="102" t="s">
        <v>294</v>
      </c>
      <c r="D127" s="102" t="s">
        <v>117</v>
      </c>
      <c r="E127" s="94" t="s">
        <v>272</v>
      </c>
      <c r="F127" s="95" t="s">
        <v>56</v>
      </c>
      <c r="G127" s="96">
        <v>109000</v>
      </c>
      <c r="H127" s="97">
        <v>109000</v>
      </c>
      <c r="I127" s="95" t="s">
        <v>56</v>
      </c>
      <c r="J127" s="96">
        <v>158000</v>
      </c>
      <c r="K127" s="97">
        <v>158000</v>
      </c>
      <c r="L127" s="98"/>
      <c r="M127" s="98"/>
      <c r="N127" s="99"/>
      <c r="O127" s="98"/>
      <c r="P127" s="98"/>
      <c r="Q127" s="99"/>
    </row>
    <row r="128" spans="1:17" ht="14.45" customHeight="1">
      <c r="A128" s="75">
        <v>19</v>
      </c>
      <c r="B128" s="76"/>
      <c r="C128" s="100" t="s">
        <v>296</v>
      </c>
      <c r="D128" s="100" t="s">
        <v>117</v>
      </c>
      <c r="E128" s="78" t="s">
        <v>272</v>
      </c>
      <c r="F128" s="79" t="s">
        <v>50</v>
      </c>
      <c r="G128" s="79" t="s">
        <v>50</v>
      </c>
      <c r="H128" s="80" t="s">
        <v>50</v>
      </c>
      <c r="I128" s="79" t="s">
        <v>51</v>
      </c>
      <c r="J128" s="79" t="s">
        <v>51</v>
      </c>
      <c r="K128" s="80" t="s">
        <v>51</v>
      </c>
      <c r="L128" s="79"/>
      <c r="M128" s="79"/>
      <c r="N128" s="80"/>
      <c r="O128" s="79"/>
      <c r="P128" s="79"/>
      <c r="Q128" s="80"/>
    </row>
    <row r="129" spans="1:17" ht="60" customHeight="1">
      <c r="A129" s="81">
        <v>19</v>
      </c>
      <c r="B129" s="82"/>
      <c r="C129" s="101" t="s">
        <v>296</v>
      </c>
      <c r="D129" s="101" t="s">
        <v>117</v>
      </c>
      <c r="E129" s="84" t="s">
        <v>272</v>
      </c>
      <c r="F129" s="85"/>
      <c r="G129" s="86" t="s">
        <v>297</v>
      </c>
      <c r="H129" s="87" t="s">
        <v>297</v>
      </c>
      <c r="I129" s="85"/>
      <c r="J129" s="86" t="s">
        <v>297</v>
      </c>
      <c r="K129" s="87" t="s">
        <v>297</v>
      </c>
      <c r="L129" s="86"/>
      <c r="M129" s="86"/>
      <c r="N129" s="87"/>
      <c r="O129" s="86"/>
      <c r="P129" s="86"/>
      <c r="Q129" s="87"/>
    </row>
    <row r="130" spans="1:17" ht="45" customHeight="1">
      <c r="A130" s="81">
        <v>19</v>
      </c>
      <c r="B130" s="82"/>
      <c r="C130" s="101" t="s">
        <v>296</v>
      </c>
      <c r="D130" s="101" t="s">
        <v>117</v>
      </c>
      <c r="E130" s="84" t="s">
        <v>272</v>
      </c>
      <c r="F130" s="85"/>
      <c r="G130" s="85"/>
      <c r="H130" s="88"/>
      <c r="I130" s="85"/>
      <c r="J130" s="85"/>
      <c r="K130" s="88"/>
      <c r="L130" s="86"/>
      <c r="M130" s="86"/>
      <c r="N130" s="87"/>
      <c r="O130" s="86"/>
      <c r="P130" s="86"/>
      <c r="Q130" s="87"/>
    </row>
    <row r="131" spans="1:17" ht="14.45" customHeight="1">
      <c r="A131" s="81">
        <v>19</v>
      </c>
      <c r="B131" s="82"/>
      <c r="C131" s="101" t="s">
        <v>296</v>
      </c>
      <c r="D131" s="101" t="s">
        <v>117</v>
      </c>
      <c r="E131" s="84" t="s">
        <v>272</v>
      </c>
      <c r="F131" s="89">
        <v>154</v>
      </c>
      <c r="G131" s="89">
        <v>199</v>
      </c>
      <c r="H131" s="90">
        <v>81</v>
      </c>
      <c r="I131" s="89">
        <v>224</v>
      </c>
      <c r="J131" s="89">
        <v>99</v>
      </c>
      <c r="K131" s="90">
        <v>21</v>
      </c>
      <c r="L131" s="86"/>
      <c r="M131" s="86"/>
      <c r="N131" s="87"/>
      <c r="O131" s="86"/>
      <c r="P131" s="86"/>
      <c r="Q131" s="87"/>
    </row>
    <row r="132" spans="1:17" ht="45" customHeight="1">
      <c r="A132" s="81">
        <v>19</v>
      </c>
      <c r="B132" s="82"/>
      <c r="C132" s="101" t="s">
        <v>296</v>
      </c>
      <c r="D132" s="101" t="s">
        <v>117</v>
      </c>
      <c r="E132" s="84" t="s">
        <v>272</v>
      </c>
      <c r="F132" s="85"/>
      <c r="G132" s="85"/>
      <c r="H132" s="88"/>
      <c r="I132" s="85"/>
      <c r="J132" s="85"/>
      <c r="K132" s="88"/>
      <c r="L132" s="86"/>
      <c r="M132" s="86"/>
      <c r="N132" s="87"/>
      <c r="O132" s="86"/>
      <c r="P132" s="86"/>
      <c r="Q132" s="87"/>
    </row>
    <row r="133" spans="1:17" ht="14.45" customHeight="1">
      <c r="A133" s="81">
        <v>19</v>
      </c>
      <c r="B133" s="82"/>
      <c r="C133" s="101" t="s">
        <v>296</v>
      </c>
      <c r="D133" s="101" t="s">
        <v>117</v>
      </c>
      <c r="E133" s="84" t="s">
        <v>272</v>
      </c>
      <c r="F133" s="89">
        <v>64</v>
      </c>
      <c r="G133" s="85"/>
      <c r="H133" s="88"/>
      <c r="I133" s="89">
        <v>7</v>
      </c>
      <c r="J133" s="85"/>
      <c r="K133" s="88"/>
      <c r="L133" s="86"/>
      <c r="M133" s="86"/>
      <c r="N133" s="87"/>
      <c r="O133" s="86"/>
      <c r="P133" s="86"/>
      <c r="Q133" s="87"/>
    </row>
    <row r="134" spans="1:17" ht="24" customHeight="1">
      <c r="A134" s="91">
        <v>19</v>
      </c>
      <c r="B134" s="92"/>
      <c r="C134" s="102" t="s">
        <v>296</v>
      </c>
      <c r="D134" s="102" t="s">
        <v>117</v>
      </c>
      <c r="E134" s="94" t="s">
        <v>272</v>
      </c>
      <c r="F134" s="95" t="s">
        <v>56</v>
      </c>
      <c r="G134" s="96">
        <v>109000</v>
      </c>
      <c r="H134" s="97">
        <v>109000</v>
      </c>
      <c r="I134" s="95" t="s">
        <v>56</v>
      </c>
      <c r="J134" s="96">
        <v>158000</v>
      </c>
      <c r="K134" s="97">
        <v>158000</v>
      </c>
      <c r="L134" s="98"/>
      <c r="M134" s="98"/>
      <c r="N134" s="99"/>
      <c r="O134" s="98"/>
      <c r="P134" s="98"/>
      <c r="Q134" s="99"/>
    </row>
    <row r="135" spans="1:17" ht="14.45" customHeight="1">
      <c r="A135" s="75">
        <v>20</v>
      </c>
      <c r="B135" s="76"/>
      <c r="C135" s="100" t="s">
        <v>280</v>
      </c>
      <c r="D135" s="100" t="s">
        <v>117</v>
      </c>
      <c r="E135" s="78" t="s">
        <v>272</v>
      </c>
      <c r="F135" s="79" t="s">
        <v>50</v>
      </c>
      <c r="G135" s="79" t="s">
        <v>50</v>
      </c>
      <c r="H135" s="80" t="s">
        <v>50</v>
      </c>
      <c r="I135" s="79" t="s">
        <v>51</v>
      </c>
      <c r="J135" s="79" t="s">
        <v>51</v>
      </c>
      <c r="K135" s="80" t="s">
        <v>51</v>
      </c>
      <c r="L135" s="79"/>
      <c r="M135" s="79"/>
      <c r="N135" s="80"/>
      <c r="O135" s="79"/>
      <c r="P135" s="79"/>
      <c r="Q135" s="80"/>
    </row>
    <row r="136" spans="1:17" ht="60" customHeight="1">
      <c r="A136" s="81">
        <v>20</v>
      </c>
      <c r="B136" s="82"/>
      <c r="C136" s="101" t="s">
        <v>280</v>
      </c>
      <c r="D136" s="101" t="s">
        <v>117</v>
      </c>
      <c r="E136" s="84" t="s">
        <v>272</v>
      </c>
      <c r="F136" s="85"/>
      <c r="G136" s="86" t="s">
        <v>276</v>
      </c>
      <c r="H136" s="87" t="s">
        <v>276</v>
      </c>
      <c r="I136" s="85"/>
      <c r="J136" s="86" t="s">
        <v>276</v>
      </c>
      <c r="K136" s="87" t="s">
        <v>276</v>
      </c>
      <c r="L136" s="86"/>
      <c r="M136" s="86"/>
      <c r="N136" s="87"/>
      <c r="O136" s="86"/>
      <c r="P136" s="86"/>
      <c r="Q136" s="87"/>
    </row>
    <row r="137" spans="1:17" ht="45" customHeight="1">
      <c r="A137" s="81">
        <v>20</v>
      </c>
      <c r="B137" s="82"/>
      <c r="C137" s="101" t="s">
        <v>280</v>
      </c>
      <c r="D137" s="101" t="s">
        <v>117</v>
      </c>
      <c r="E137" s="84" t="s">
        <v>272</v>
      </c>
      <c r="F137" s="85"/>
      <c r="G137" s="85"/>
      <c r="H137" s="88"/>
      <c r="I137" s="85"/>
      <c r="J137" s="85"/>
      <c r="K137" s="88"/>
      <c r="L137" s="86"/>
      <c r="M137" s="86"/>
      <c r="N137" s="87"/>
      <c r="O137" s="86"/>
      <c r="P137" s="86"/>
      <c r="Q137" s="87"/>
    </row>
    <row r="138" spans="1:17" ht="14.45" customHeight="1">
      <c r="A138" s="81">
        <v>20</v>
      </c>
      <c r="B138" s="82"/>
      <c r="C138" s="101" t="s">
        <v>280</v>
      </c>
      <c r="D138" s="101" t="s">
        <v>117</v>
      </c>
      <c r="E138" s="84" t="s">
        <v>272</v>
      </c>
      <c r="F138" s="89">
        <v>154</v>
      </c>
      <c r="G138" s="89">
        <v>199</v>
      </c>
      <c r="H138" s="90">
        <v>81</v>
      </c>
      <c r="I138" s="89">
        <v>224</v>
      </c>
      <c r="J138" s="89">
        <v>99</v>
      </c>
      <c r="K138" s="90">
        <v>21</v>
      </c>
      <c r="L138" s="86"/>
      <c r="M138" s="86"/>
      <c r="N138" s="87"/>
      <c r="O138" s="86"/>
      <c r="P138" s="86"/>
      <c r="Q138" s="87"/>
    </row>
    <row r="139" spans="1:17" ht="45" customHeight="1">
      <c r="A139" s="81">
        <v>20</v>
      </c>
      <c r="B139" s="82"/>
      <c r="C139" s="101" t="s">
        <v>280</v>
      </c>
      <c r="D139" s="101" t="s">
        <v>117</v>
      </c>
      <c r="E139" s="84" t="s">
        <v>272</v>
      </c>
      <c r="F139" s="85"/>
      <c r="G139" s="85"/>
      <c r="H139" s="88"/>
      <c r="I139" s="85"/>
      <c r="J139" s="85"/>
      <c r="K139" s="88"/>
      <c r="L139" s="86"/>
      <c r="M139" s="86"/>
      <c r="N139" s="87"/>
      <c r="O139" s="86"/>
      <c r="P139" s="86"/>
      <c r="Q139" s="87"/>
    </row>
    <row r="140" spans="1:17" ht="14.45" customHeight="1">
      <c r="A140" s="81">
        <v>20</v>
      </c>
      <c r="B140" s="82"/>
      <c r="C140" s="101" t="s">
        <v>280</v>
      </c>
      <c r="D140" s="101" t="s">
        <v>117</v>
      </c>
      <c r="E140" s="84" t="s">
        <v>272</v>
      </c>
      <c r="F140" s="89">
        <v>64</v>
      </c>
      <c r="G140" s="85"/>
      <c r="H140" s="88"/>
      <c r="I140" s="89">
        <v>7</v>
      </c>
      <c r="J140" s="85"/>
      <c r="K140" s="88"/>
      <c r="L140" s="86"/>
      <c r="M140" s="86"/>
      <c r="N140" s="87"/>
      <c r="O140" s="86"/>
      <c r="P140" s="86"/>
      <c r="Q140" s="87"/>
    </row>
    <row r="141" spans="1:17" ht="24" customHeight="1">
      <c r="A141" s="91">
        <v>20</v>
      </c>
      <c r="B141" s="92"/>
      <c r="C141" s="102" t="s">
        <v>280</v>
      </c>
      <c r="D141" s="102" t="s">
        <v>117</v>
      </c>
      <c r="E141" s="94" t="s">
        <v>272</v>
      </c>
      <c r="F141" s="95" t="s">
        <v>56</v>
      </c>
      <c r="G141" s="96">
        <v>109000</v>
      </c>
      <c r="H141" s="97">
        <v>109000</v>
      </c>
      <c r="I141" s="95" t="s">
        <v>56</v>
      </c>
      <c r="J141" s="96">
        <v>158000</v>
      </c>
      <c r="K141" s="97">
        <v>158000</v>
      </c>
      <c r="L141" s="98"/>
      <c r="M141" s="98"/>
      <c r="N141" s="99"/>
      <c r="O141" s="98"/>
      <c r="P141" s="98"/>
      <c r="Q141" s="99"/>
    </row>
    <row r="142" spans="1:17" ht="14.45" customHeight="1">
      <c r="A142" s="75">
        <v>21</v>
      </c>
      <c r="B142" s="76"/>
      <c r="C142" s="100" t="s">
        <v>298</v>
      </c>
      <c r="D142" s="100" t="s">
        <v>117</v>
      </c>
      <c r="E142" s="78" t="s">
        <v>267</v>
      </c>
      <c r="F142" s="79" t="s">
        <v>50</v>
      </c>
      <c r="G142" s="79" t="s">
        <v>50</v>
      </c>
      <c r="H142" s="80" t="s">
        <v>50</v>
      </c>
      <c r="I142" s="79" t="s">
        <v>51</v>
      </c>
      <c r="J142" s="79" t="s">
        <v>51</v>
      </c>
      <c r="K142" s="80" t="s">
        <v>51</v>
      </c>
      <c r="L142" s="79"/>
      <c r="M142" s="79"/>
      <c r="N142" s="80"/>
      <c r="O142" s="79"/>
      <c r="P142" s="79"/>
      <c r="Q142" s="80"/>
    </row>
    <row r="143" spans="1:17" ht="60" customHeight="1">
      <c r="A143" s="81">
        <v>21</v>
      </c>
      <c r="B143" s="82"/>
      <c r="C143" s="101" t="s">
        <v>298</v>
      </c>
      <c r="D143" s="101" t="s">
        <v>117</v>
      </c>
      <c r="E143" s="84" t="s">
        <v>267</v>
      </c>
      <c r="F143" s="85"/>
      <c r="G143" s="86" t="s">
        <v>299</v>
      </c>
      <c r="H143" s="87" t="s">
        <v>299</v>
      </c>
      <c r="I143" s="85"/>
      <c r="J143" s="86" t="s">
        <v>299</v>
      </c>
      <c r="K143" s="87" t="s">
        <v>299</v>
      </c>
      <c r="L143" s="86"/>
      <c r="M143" s="86"/>
      <c r="N143" s="87"/>
      <c r="O143" s="86"/>
      <c r="P143" s="86"/>
      <c r="Q143" s="87"/>
    </row>
    <row r="144" spans="1:17" ht="45" customHeight="1">
      <c r="A144" s="81">
        <v>21</v>
      </c>
      <c r="B144" s="82"/>
      <c r="C144" s="101" t="s">
        <v>298</v>
      </c>
      <c r="D144" s="101" t="s">
        <v>117</v>
      </c>
      <c r="E144" s="84" t="s">
        <v>267</v>
      </c>
      <c r="F144" s="85"/>
      <c r="G144" s="85"/>
      <c r="H144" s="88"/>
      <c r="I144" s="85"/>
      <c r="J144" s="85"/>
      <c r="K144" s="88"/>
      <c r="L144" s="86"/>
      <c r="M144" s="86"/>
      <c r="N144" s="87"/>
      <c r="O144" s="86"/>
      <c r="P144" s="86"/>
      <c r="Q144" s="87"/>
    </row>
    <row r="145" spans="1:17" ht="14.45" customHeight="1">
      <c r="A145" s="81">
        <v>21</v>
      </c>
      <c r="B145" s="82"/>
      <c r="C145" s="101" t="s">
        <v>298</v>
      </c>
      <c r="D145" s="101" t="s">
        <v>117</v>
      </c>
      <c r="E145" s="84" t="s">
        <v>267</v>
      </c>
      <c r="F145" s="89">
        <v>185</v>
      </c>
      <c r="G145" s="89">
        <v>151</v>
      </c>
      <c r="H145" s="90">
        <v>60</v>
      </c>
      <c r="I145" s="89">
        <v>146</v>
      </c>
      <c r="J145" s="89">
        <v>31</v>
      </c>
      <c r="K145" s="90">
        <v>5</v>
      </c>
      <c r="L145" s="86"/>
      <c r="M145" s="86"/>
      <c r="N145" s="87"/>
      <c r="O145" s="86"/>
      <c r="P145" s="86"/>
      <c r="Q145" s="87"/>
    </row>
    <row r="146" spans="1:17" ht="45" customHeight="1">
      <c r="A146" s="81">
        <v>21</v>
      </c>
      <c r="B146" s="82"/>
      <c r="C146" s="101" t="s">
        <v>298</v>
      </c>
      <c r="D146" s="101" t="s">
        <v>117</v>
      </c>
      <c r="E146" s="84" t="s">
        <v>267</v>
      </c>
      <c r="F146" s="85"/>
      <c r="G146" s="85"/>
      <c r="H146" s="88"/>
      <c r="I146" s="85"/>
      <c r="J146" s="85"/>
      <c r="K146" s="88"/>
      <c r="L146" s="86"/>
      <c r="M146" s="86"/>
      <c r="N146" s="87"/>
      <c r="O146" s="86"/>
      <c r="P146" s="86"/>
      <c r="Q146" s="87"/>
    </row>
    <row r="147" spans="1:17" ht="14.45" customHeight="1">
      <c r="A147" s="81">
        <v>21</v>
      </c>
      <c r="B147" s="82"/>
      <c r="C147" s="101" t="s">
        <v>298</v>
      </c>
      <c r="D147" s="101" t="s">
        <v>117</v>
      </c>
      <c r="E147" s="84" t="s">
        <v>267</v>
      </c>
      <c r="F147" s="85"/>
      <c r="G147" s="85"/>
      <c r="H147" s="88"/>
      <c r="I147" s="85"/>
      <c r="J147" s="85"/>
      <c r="K147" s="88"/>
      <c r="L147" s="86"/>
      <c r="M147" s="86"/>
      <c r="N147" s="87"/>
      <c r="O147" s="86"/>
      <c r="P147" s="86"/>
      <c r="Q147" s="87"/>
    </row>
    <row r="148" spans="1:17" ht="24" customHeight="1">
      <c r="A148" s="91">
        <v>21</v>
      </c>
      <c r="B148" s="92"/>
      <c r="C148" s="102" t="s">
        <v>298</v>
      </c>
      <c r="D148" s="102" t="s">
        <v>117</v>
      </c>
      <c r="E148" s="94" t="s">
        <v>267</v>
      </c>
      <c r="F148" s="95" t="s">
        <v>56</v>
      </c>
      <c r="G148" s="96">
        <v>81900</v>
      </c>
      <c r="H148" s="97">
        <v>81900</v>
      </c>
      <c r="I148" s="95" t="s">
        <v>56</v>
      </c>
      <c r="J148" s="96">
        <v>97300</v>
      </c>
      <c r="K148" s="97">
        <v>97300</v>
      </c>
      <c r="L148" s="98"/>
      <c r="M148" s="98"/>
      <c r="N148" s="99"/>
      <c r="O148" s="98"/>
      <c r="P148" s="98"/>
      <c r="Q148" s="99"/>
    </row>
    <row r="149" spans="1:17" ht="14.45" customHeight="1">
      <c r="A149" s="75">
        <v>22</v>
      </c>
      <c r="B149" s="76"/>
      <c r="C149" s="100" t="s">
        <v>270</v>
      </c>
      <c r="D149" s="100" t="s">
        <v>117</v>
      </c>
      <c r="E149" s="78" t="s">
        <v>267</v>
      </c>
      <c r="F149" s="79" t="s">
        <v>50</v>
      </c>
      <c r="G149" s="79" t="s">
        <v>50</v>
      </c>
      <c r="H149" s="80" t="s">
        <v>50</v>
      </c>
      <c r="I149" s="79" t="s">
        <v>51</v>
      </c>
      <c r="J149" s="79" t="s">
        <v>51</v>
      </c>
      <c r="K149" s="80" t="s">
        <v>51</v>
      </c>
      <c r="L149" s="79"/>
      <c r="M149" s="79"/>
      <c r="N149" s="80"/>
      <c r="O149" s="79"/>
      <c r="P149" s="79"/>
      <c r="Q149" s="80"/>
    </row>
    <row r="150" spans="1:17" ht="60" customHeight="1">
      <c r="A150" s="81">
        <v>22</v>
      </c>
      <c r="B150" s="82"/>
      <c r="C150" s="101" t="s">
        <v>270</v>
      </c>
      <c r="D150" s="101" t="s">
        <v>117</v>
      </c>
      <c r="E150" s="84" t="s">
        <v>267</v>
      </c>
      <c r="F150" s="85"/>
      <c r="G150" s="86" t="s">
        <v>299</v>
      </c>
      <c r="H150" s="87" t="s">
        <v>299</v>
      </c>
      <c r="I150" s="85"/>
      <c r="J150" s="86" t="s">
        <v>299</v>
      </c>
      <c r="K150" s="87" t="s">
        <v>299</v>
      </c>
      <c r="L150" s="86"/>
      <c r="M150" s="86"/>
      <c r="N150" s="87"/>
      <c r="O150" s="86"/>
      <c r="P150" s="86"/>
      <c r="Q150" s="87"/>
    </row>
    <row r="151" spans="1:17" ht="45" customHeight="1">
      <c r="A151" s="81">
        <v>22</v>
      </c>
      <c r="B151" s="82"/>
      <c r="C151" s="101" t="s">
        <v>270</v>
      </c>
      <c r="D151" s="101" t="s">
        <v>117</v>
      </c>
      <c r="E151" s="84" t="s">
        <v>267</v>
      </c>
      <c r="F151" s="85"/>
      <c r="G151" s="85"/>
      <c r="H151" s="88"/>
      <c r="I151" s="85"/>
      <c r="J151" s="85"/>
      <c r="K151" s="88"/>
      <c r="L151" s="86"/>
      <c r="M151" s="86"/>
      <c r="N151" s="87"/>
      <c r="O151" s="86"/>
      <c r="P151" s="86"/>
      <c r="Q151" s="87"/>
    </row>
    <row r="152" spans="1:17" ht="14.45" customHeight="1">
      <c r="A152" s="81">
        <v>22</v>
      </c>
      <c r="B152" s="82"/>
      <c r="C152" s="101" t="s">
        <v>270</v>
      </c>
      <c r="D152" s="101" t="s">
        <v>117</v>
      </c>
      <c r="E152" s="84" t="s">
        <v>267</v>
      </c>
      <c r="F152" s="89">
        <v>185</v>
      </c>
      <c r="G152" s="89">
        <v>151</v>
      </c>
      <c r="H152" s="90">
        <v>60</v>
      </c>
      <c r="I152" s="89">
        <v>146</v>
      </c>
      <c r="J152" s="89">
        <v>31</v>
      </c>
      <c r="K152" s="90">
        <v>5</v>
      </c>
      <c r="L152" s="86"/>
      <c r="M152" s="86"/>
      <c r="N152" s="87"/>
      <c r="O152" s="86"/>
      <c r="P152" s="86"/>
      <c r="Q152" s="87"/>
    </row>
    <row r="153" spans="1:17" ht="45" customHeight="1">
      <c r="A153" s="81">
        <v>22</v>
      </c>
      <c r="B153" s="82"/>
      <c r="C153" s="101" t="s">
        <v>270</v>
      </c>
      <c r="D153" s="101" t="s">
        <v>117</v>
      </c>
      <c r="E153" s="84" t="s">
        <v>267</v>
      </c>
      <c r="F153" s="85"/>
      <c r="G153" s="85"/>
      <c r="H153" s="88"/>
      <c r="I153" s="85"/>
      <c r="J153" s="85"/>
      <c r="K153" s="88"/>
      <c r="L153" s="86"/>
      <c r="M153" s="86"/>
      <c r="N153" s="87"/>
      <c r="O153" s="86"/>
      <c r="P153" s="86"/>
      <c r="Q153" s="87"/>
    </row>
    <row r="154" spans="1:17" ht="14.45" customHeight="1">
      <c r="A154" s="81">
        <v>22</v>
      </c>
      <c r="B154" s="82"/>
      <c r="C154" s="101" t="s">
        <v>270</v>
      </c>
      <c r="D154" s="101" t="s">
        <v>117</v>
      </c>
      <c r="E154" s="84" t="s">
        <v>267</v>
      </c>
      <c r="F154" s="85"/>
      <c r="G154" s="85"/>
      <c r="H154" s="88"/>
      <c r="I154" s="85"/>
      <c r="J154" s="85"/>
      <c r="K154" s="88"/>
      <c r="L154" s="86"/>
      <c r="M154" s="86"/>
      <c r="N154" s="87"/>
      <c r="O154" s="86"/>
      <c r="P154" s="86"/>
      <c r="Q154" s="87"/>
    </row>
    <row r="155" spans="1:17" ht="24" customHeight="1">
      <c r="A155" s="91">
        <v>22</v>
      </c>
      <c r="B155" s="92"/>
      <c r="C155" s="102" t="s">
        <v>270</v>
      </c>
      <c r="D155" s="102" t="s">
        <v>117</v>
      </c>
      <c r="E155" s="94" t="s">
        <v>267</v>
      </c>
      <c r="F155" s="95" t="s">
        <v>56</v>
      </c>
      <c r="G155" s="96">
        <v>81900</v>
      </c>
      <c r="H155" s="97">
        <v>81900</v>
      </c>
      <c r="I155" s="95" t="s">
        <v>56</v>
      </c>
      <c r="J155" s="96">
        <v>97300</v>
      </c>
      <c r="K155" s="97">
        <v>97300</v>
      </c>
      <c r="L155" s="98"/>
      <c r="M155" s="98"/>
      <c r="N155" s="99"/>
      <c r="O155" s="98"/>
      <c r="P155" s="98"/>
      <c r="Q155" s="99"/>
    </row>
    <row r="156" spans="1:17" ht="14.45" customHeight="1">
      <c r="A156" s="75">
        <v>23</v>
      </c>
      <c r="B156" s="76"/>
      <c r="C156" s="100" t="s">
        <v>300</v>
      </c>
      <c r="D156" s="100" t="s">
        <v>117</v>
      </c>
      <c r="E156" s="78" t="s">
        <v>267</v>
      </c>
      <c r="F156" s="79" t="s">
        <v>50</v>
      </c>
      <c r="G156" s="79" t="s">
        <v>50</v>
      </c>
      <c r="H156" s="80" t="s">
        <v>50</v>
      </c>
      <c r="I156" s="79" t="s">
        <v>51</v>
      </c>
      <c r="J156" s="79" t="s">
        <v>51</v>
      </c>
      <c r="K156" s="80" t="s">
        <v>51</v>
      </c>
      <c r="L156" s="79"/>
      <c r="M156" s="79"/>
      <c r="N156" s="80"/>
      <c r="O156" s="79"/>
      <c r="P156" s="79"/>
      <c r="Q156" s="80"/>
    </row>
    <row r="157" spans="1:17" ht="60" customHeight="1">
      <c r="A157" s="81">
        <v>23</v>
      </c>
      <c r="B157" s="82"/>
      <c r="C157" s="101" t="s">
        <v>300</v>
      </c>
      <c r="D157" s="101" t="s">
        <v>117</v>
      </c>
      <c r="E157" s="84" t="s">
        <v>267</v>
      </c>
      <c r="F157" s="85"/>
      <c r="G157" s="86" t="s">
        <v>301</v>
      </c>
      <c r="H157" s="87" t="s">
        <v>301</v>
      </c>
      <c r="I157" s="85"/>
      <c r="J157" s="86" t="s">
        <v>301</v>
      </c>
      <c r="K157" s="87" t="s">
        <v>301</v>
      </c>
      <c r="L157" s="86"/>
      <c r="M157" s="86"/>
      <c r="N157" s="87"/>
      <c r="O157" s="86"/>
      <c r="P157" s="86"/>
      <c r="Q157" s="87"/>
    </row>
    <row r="158" spans="1:17" ht="45" customHeight="1">
      <c r="A158" s="81">
        <v>23</v>
      </c>
      <c r="B158" s="82"/>
      <c r="C158" s="101" t="s">
        <v>300</v>
      </c>
      <c r="D158" s="101" t="s">
        <v>117</v>
      </c>
      <c r="E158" s="84" t="s">
        <v>267</v>
      </c>
      <c r="F158" s="85"/>
      <c r="G158" s="85"/>
      <c r="H158" s="88"/>
      <c r="I158" s="85"/>
      <c r="J158" s="85"/>
      <c r="K158" s="88"/>
      <c r="L158" s="86"/>
      <c r="M158" s="86"/>
      <c r="N158" s="87"/>
      <c r="O158" s="86"/>
      <c r="P158" s="86"/>
      <c r="Q158" s="87"/>
    </row>
    <row r="159" spans="1:17" ht="14.45" customHeight="1">
      <c r="A159" s="81">
        <v>23</v>
      </c>
      <c r="B159" s="82"/>
      <c r="C159" s="101" t="s">
        <v>300</v>
      </c>
      <c r="D159" s="101" t="s">
        <v>117</v>
      </c>
      <c r="E159" s="84" t="s">
        <v>267</v>
      </c>
      <c r="F159" s="89">
        <v>185</v>
      </c>
      <c r="G159" s="89">
        <v>151</v>
      </c>
      <c r="H159" s="90">
        <v>60</v>
      </c>
      <c r="I159" s="89">
        <v>146</v>
      </c>
      <c r="J159" s="89">
        <v>31</v>
      </c>
      <c r="K159" s="90">
        <v>5</v>
      </c>
      <c r="L159" s="86"/>
      <c r="M159" s="86"/>
      <c r="N159" s="87"/>
      <c r="O159" s="86"/>
      <c r="P159" s="86"/>
      <c r="Q159" s="87"/>
    </row>
    <row r="160" spans="1:17" ht="45" customHeight="1">
      <c r="A160" s="81">
        <v>23</v>
      </c>
      <c r="B160" s="82"/>
      <c r="C160" s="101" t="s">
        <v>300</v>
      </c>
      <c r="D160" s="101" t="s">
        <v>117</v>
      </c>
      <c r="E160" s="84" t="s">
        <v>267</v>
      </c>
      <c r="F160" s="85"/>
      <c r="G160" s="85"/>
      <c r="H160" s="88"/>
      <c r="I160" s="85"/>
      <c r="J160" s="85"/>
      <c r="K160" s="88"/>
      <c r="L160" s="86"/>
      <c r="M160" s="86"/>
      <c r="N160" s="87"/>
      <c r="O160" s="86"/>
      <c r="P160" s="86"/>
      <c r="Q160" s="87"/>
    </row>
    <row r="161" spans="1:17" ht="14.45" customHeight="1">
      <c r="A161" s="81">
        <v>23</v>
      </c>
      <c r="B161" s="82"/>
      <c r="C161" s="101" t="s">
        <v>300</v>
      </c>
      <c r="D161" s="101" t="s">
        <v>117</v>
      </c>
      <c r="E161" s="84" t="s">
        <v>267</v>
      </c>
      <c r="F161" s="85"/>
      <c r="G161" s="85"/>
      <c r="H161" s="88"/>
      <c r="I161" s="85"/>
      <c r="J161" s="85"/>
      <c r="K161" s="88"/>
      <c r="L161" s="86"/>
      <c r="M161" s="86"/>
      <c r="N161" s="87"/>
      <c r="O161" s="86"/>
      <c r="P161" s="86"/>
      <c r="Q161" s="87"/>
    </row>
    <row r="162" spans="1:17" ht="24" customHeight="1">
      <c r="A162" s="91">
        <v>23</v>
      </c>
      <c r="B162" s="92"/>
      <c r="C162" s="102" t="s">
        <v>300</v>
      </c>
      <c r="D162" s="102" t="s">
        <v>117</v>
      </c>
      <c r="E162" s="94" t="s">
        <v>267</v>
      </c>
      <c r="F162" s="95" t="s">
        <v>56</v>
      </c>
      <c r="G162" s="96">
        <v>81900</v>
      </c>
      <c r="H162" s="97">
        <v>81900</v>
      </c>
      <c r="I162" s="95" t="s">
        <v>56</v>
      </c>
      <c r="J162" s="96">
        <v>97300</v>
      </c>
      <c r="K162" s="97">
        <v>97300</v>
      </c>
      <c r="L162" s="98"/>
      <c r="M162" s="98"/>
      <c r="N162" s="99"/>
      <c r="O162" s="98"/>
      <c r="P162" s="98"/>
      <c r="Q162" s="99"/>
    </row>
    <row r="163" spans="1:17" ht="14.45" customHeight="1">
      <c r="A163" s="75">
        <v>24</v>
      </c>
      <c r="B163" s="76"/>
      <c r="C163" s="100" t="s">
        <v>302</v>
      </c>
      <c r="D163" s="100" t="s">
        <v>117</v>
      </c>
      <c r="E163" s="78" t="s">
        <v>267</v>
      </c>
      <c r="F163" s="79" t="s">
        <v>50</v>
      </c>
      <c r="G163" s="79" t="s">
        <v>50</v>
      </c>
      <c r="H163" s="80" t="s">
        <v>50</v>
      </c>
      <c r="I163" s="79" t="s">
        <v>51</v>
      </c>
      <c r="J163" s="79" t="s">
        <v>51</v>
      </c>
      <c r="K163" s="80" t="s">
        <v>51</v>
      </c>
      <c r="L163" s="79"/>
      <c r="M163" s="79"/>
      <c r="N163" s="80"/>
      <c r="O163" s="79"/>
      <c r="P163" s="79"/>
      <c r="Q163" s="80"/>
    </row>
    <row r="164" spans="1:17" ht="60" customHeight="1">
      <c r="A164" s="81">
        <v>24</v>
      </c>
      <c r="B164" s="82"/>
      <c r="C164" s="101" t="s">
        <v>302</v>
      </c>
      <c r="D164" s="101" t="s">
        <v>117</v>
      </c>
      <c r="E164" s="84" t="s">
        <v>267</v>
      </c>
      <c r="F164" s="85"/>
      <c r="G164" s="86" t="s">
        <v>303</v>
      </c>
      <c r="H164" s="87" t="s">
        <v>303</v>
      </c>
      <c r="I164" s="85"/>
      <c r="J164" s="86" t="s">
        <v>303</v>
      </c>
      <c r="K164" s="87" t="s">
        <v>303</v>
      </c>
      <c r="L164" s="86"/>
      <c r="M164" s="86"/>
      <c r="N164" s="87"/>
      <c r="O164" s="86"/>
      <c r="P164" s="86"/>
      <c r="Q164" s="87"/>
    </row>
    <row r="165" spans="1:17" ht="45" customHeight="1">
      <c r="A165" s="81">
        <v>24</v>
      </c>
      <c r="B165" s="82"/>
      <c r="C165" s="101" t="s">
        <v>302</v>
      </c>
      <c r="D165" s="101" t="s">
        <v>117</v>
      </c>
      <c r="E165" s="84" t="s">
        <v>267</v>
      </c>
      <c r="F165" s="85"/>
      <c r="G165" s="85"/>
      <c r="H165" s="88"/>
      <c r="I165" s="85"/>
      <c r="J165" s="85"/>
      <c r="K165" s="88"/>
      <c r="L165" s="86"/>
      <c r="M165" s="86"/>
      <c r="N165" s="87"/>
      <c r="O165" s="86"/>
      <c r="P165" s="86"/>
      <c r="Q165" s="87"/>
    </row>
    <row r="166" spans="1:17" ht="14.45" customHeight="1">
      <c r="A166" s="81">
        <v>24</v>
      </c>
      <c r="B166" s="82"/>
      <c r="C166" s="101" t="s">
        <v>302</v>
      </c>
      <c r="D166" s="101" t="s">
        <v>117</v>
      </c>
      <c r="E166" s="84" t="s">
        <v>267</v>
      </c>
      <c r="F166" s="89">
        <v>185</v>
      </c>
      <c r="G166" s="89">
        <v>151</v>
      </c>
      <c r="H166" s="90">
        <v>60</v>
      </c>
      <c r="I166" s="89">
        <v>146</v>
      </c>
      <c r="J166" s="89">
        <v>31</v>
      </c>
      <c r="K166" s="90">
        <v>5</v>
      </c>
      <c r="L166" s="86"/>
      <c r="M166" s="86"/>
      <c r="N166" s="87"/>
      <c r="O166" s="86"/>
      <c r="P166" s="86"/>
      <c r="Q166" s="87"/>
    </row>
    <row r="167" spans="1:17" ht="45" customHeight="1">
      <c r="A167" s="81">
        <v>24</v>
      </c>
      <c r="B167" s="82"/>
      <c r="C167" s="101" t="s">
        <v>302</v>
      </c>
      <c r="D167" s="101" t="s">
        <v>117</v>
      </c>
      <c r="E167" s="84" t="s">
        <v>267</v>
      </c>
      <c r="F167" s="85"/>
      <c r="G167" s="85"/>
      <c r="H167" s="88"/>
      <c r="I167" s="85"/>
      <c r="J167" s="85"/>
      <c r="K167" s="88"/>
      <c r="L167" s="86"/>
      <c r="M167" s="86"/>
      <c r="N167" s="87"/>
      <c r="O167" s="86"/>
      <c r="P167" s="86"/>
      <c r="Q167" s="87"/>
    </row>
    <row r="168" spans="1:17" ht="14.45" customHeight="1">
      <c r="A168" s="81">
        <v>24</v>
      </c>
      <c r="B168" s="82"/>
      <c r="C168" s="101" t="s">
        <v>302</v>
      </c>
      <c r="D168" s="101" t="s">
        <v>117</v>
      </c>
      <c r="E168" s="84" t="s">
        <v>267</v>
      </c>
      <c r="F168" s="85"/>
      <c r="G168" s="85"/>
      <c r="H168" s="88"/>
      <c r="I168" s="85"/>
      <c r="J168" s="85"/>
      <c r="K168" s="88"/>
      <c r="L168" s="86"/>
      <c r="M168" s="86"/>
      <c r="N168" s="87"/>
      <c r="O168" s="86"/>
      <c r="P168" s="86"/>
      <c r="Q168" s="87"/>
    </row>
    <row r="169" spans="1:17" ht="24" customHeight="1">
      <c r="A169" s="91">
        <v>24</v>
      </c>
      <c r="B169" s="92"/>
      <c r="C169" s="102" t="s">
        <v>302</v>
      </c>
      <c r="D169" s="102" t="s">
        <v>117</v>
      </c>
      <c r="E169" s="94" t="s">
        <v>267</v>
      </c>
      <c r="F169" s="95" t="s">
        <v>56</v>
      </c>
      <c r="G169" s="96">
        <v>81900</v>
      </c>
      <c r="H169" s="97">
        <v>81900</v>
      </c>
      <c r="I169" s="95" t="s">
        <v>56</v>
      </c>
      <c r="J169" s="96">
        <v>97300</v>
      </c>
      <c r="K169" s="97">
        <v>97300</v>
      </c>
      <c r="L169" s="98"/>
      <c r="M169" s="98"/>
      <c r="N169" s="99"/>
      <c r="O169" s="98"/>
      <c r="P169" s="98"/>
      <c r="Q169" s="99"/>
    </row>
    <row r="170" spans="1:17" ht="14.45" customHeight="1">
      <c r="A170" s="75">
        <v>25</v>
      </c>
      <c r="B170" s="76"/>
      <c r="C170" s="100" t="s">
        <v>304</v>
      </c>
      <c r="D170" s="100" t="s">
        <v>117</v>
      </c>
      <c r="E170" s="78" t="s">
        <v>267</v>
      </c>
      <c r="F170" s="79" t="s">
        <v>50</v>
      </c>
      <c r="G170" s="79" t="s">
        <v>50</v>
      </c>
      <c r="H170" s="80" t="s">
        <v>50</v>
      </c>
      <c r="I170" s="79" t="s">
        <v>51</v>
      </c>
      <c r="J170" s="79" t="s">
        <v>51</v>
      </c>
      <c r="K170" s="80" t="s">
        <v>51</v>
      </c>
      <c r="L170" s="79"/>
      <c r="M170" s="79"/>
      <c r="N170" s="80"/>
      <c r="O170" s="79"/>
      <c r="P170" s="79"/>
      <c r="Q170" s="80"/>
    </row>
    <row r="171" spans="1:17" ht="60" customHeight="1">
      <c r="A171" s="81">
        <v>25</v>
      </c>
      <c r="B171" s="82"/>
      <c r="C171" s="101" t="s">
        <v>304</v>
      </c>
      <c r="D171" s="101" t="s">
        <v>117</v>
      </c>
      <c r="E171" s="84" t="s">
        <v>267</v>
      </c>
      <c r="F171" s="85"/>
      <c r="G171" s="86" t="s">
        <v>305</v>
      </c>
      <c r="H171" s="87" t="s">
        <v>305</v>
      </c>
      <c r="I171" s="85"/>
      <c r="J171" s="86" t="s">
        <v>305</v>
      </c>
      <c r="K171" s="87" t="s">
        <v>305</v>
      </c>
      <c r="L171" s="86"/>
      <c r="M171" s="86"/>
      <c r="N171" s="87"/>
      <c r="O171" s="86"/>
      <c r="P171" s="86"/>
      <c r="Q171" s="87"/>
    </row>
    <row r="172" spans="1:17" ht="45" customHeight="1">
      <c r="A172" s="81">
        <v>25</v>
      </c>
      <c r="B172" s="82"/>
      <c r="C172" s="101" t="s">
        <v>304</v>
      </c>
      <c r="D172" s="101" t="s">
        <v>117</v>
      </c>
      <c r="E172" s="84" t="s">
        <v>267</v>
      </c>
      <c r="F172" s="85"/>
      <c r="G172" s="85"/>
      <c r="H172" s="88"/>
      <c r="I172" s="85"/>
      <c r="J172" s="85"/>
      <c r="K172" s="88"/>
      <c r="L172" s="86"/>
      <c r="M172" s="86"/>
      <c r="N172" s="87"/>
      <c r="O172" s="86"/>
      <c r="P172" s="86"/>
      <c r="Q172" s="87"/>
    </row>
    <row r="173" spans="1:17" ht="14.45" customHeight="1">
      <c r="A173" s="81">
        <v>25</v>
      </c>
      <c r="B173" s="82"/>
      <c r="C173" s="101" t="s">
        <v>304</v>
      </c>
      <c r="D173" s="101" t="s">
        <v>117</v>
      </c>
      <c r="E173" s="84" t="s">
        <v>267</v>
      </c>
      <c r="F173" s="89">
        <v>185</v>
      </c>
      <c r="G173" s="89">
        <v>151</v>
      </c>
      <c r="H173" s="90">
        <v>60</v>
      </c>
      <c r="I173" s="89">
        <v>146</v>
      </c>
      <c r="J173" s="89">
        <v>31</v>
      </c>
      <c r="K173" s="90">
        <v>5</v>
      </c>
      <c r="L173" s="86"/>
      <c r="M173" s="86"/>
      <c r="N173" s="87"/>
      <c r="O173" s="86"/>
      <c r="P173" s="86"/>
      <c r="Q173" s="87"/>
    </row>
    <row r="174" spans="1:17" ht="45" customHeight="1">
      <c r="A174" s="81">
        <v>25</v>
      </c>
      <c r="B174" s="82"/>
      <c r="C174" s="101" t="s">
        <v>304</v>
      </c>
      <c r="D174" s="101" t="s">
        <v>117</v>
      </c>
      <c r="E174" s="84" t="s">
        <v>267</v>
      </c>
      <c r="F174" s="85"/>
      <c r="G174" s="85"/>
      <c r="H174" s="88"/>
      <c r="I174" s="85"/>
      <c r="J174" s="85"/>
      <c r="K174" s="88"/>
      <c r="L174" s="86"/>
      <c r="M174" s="86"/>
      <c r="N174" s="87"/>
      <c r="O174" s="86"/>
      <c r="P174" s="86"/>
      <c r="Q174" s="87"/>
    </row>
    <row r="175" spans="1:17" ht="14.45" customHeight="1">
      <c r="A175" s="81">
        <v>25</v>
      </c>
      <c r="B175" s="82"/>
      <c r="C175" s="101" t="s">
        <v>304</v>
      </c>
      <c r="D175" s="101" t="s">
        <v>117</v>
      </c>
      <c r="E175" s="84" t="s">
        <v>267</v>
      </c>
      <c r="F175" s="85"/>
      <c r="G175" s="85"/>
      <c r="H175" s="88"/>
      <c r="I175" s="85"/>
      <c r="J175" s="85"/>
      <c r="K175" s="88"/>
      <c r="L175" s="86"/>
      <c r="M175" s="86"/>
      <c r="N175" s="87"/>
      <c r="O175" s="86"/>
      <c r="P175" s="86"/>
      <c r="Q175" s="87"/>
    </row>
    <row r="176" spans="1:17" ht="24" customHeight="1">
      <c r="A176" s="91">
        <v>25</v>
      </c>
      <c r="B176" s="92"/>
      <c r="C176" s="102" t="s">
        <v>304</v>
      </c>
      <c r="D176" s="102" t="s">
        <v>117</v>
      </c>
      <c r="E176" s="94" t="s">
        <v>267</v>
      </c>
      <c r="F176" s="95" t="s">
        <v>56</v>
      </c>
      <c r="G176" s="96">
        <v>81900</v>
      </c>
      <c r="H176" s="97">
        <v>81900</v>
      </c>
      <c r="I176" s="95" t="s">
        <v>56</v>
      </c>
      <c r="J176" s="96">
        <v>97300</v>
      </c>
      <c r="K176" s="97">
        <v>97300</v>
      </c>
      <c r="L176" s="98"/>
      <c r="M176" s="98"/>
      <c r="N176" s="99"/>
      <c r="O176" s="98"/>
      <c r="P176" s="98"/>
      <c r="Q176" s="99"/>
    </row>
    <row r="177" spans="1:17" ht="14.45" customHeight="1">
      <c r="A177" s="75">
        <v>26</v>
      </c>
      <c r="B177" s="76"/>
      <c r="C177" s="100" t="s">
        <v>306</v>
      </c>
      <c r="D177" s="100" t="s">
        <v>117</v>
      </c>
      <c r="E177" s="78" t="s">
        <v>267</v>
      </c>
      <c r="F177" s="79" t="s">
        <v>50</v>
      </c>
      <c r="G177" s="79" t="s">
        <v>50</v>
      </c>
      <c r="H177" s="80" t="s">
        <v>50</v>
      </c>
      <c r="I177" s="79" t="s">
        <v>51</v>
      </c>
      <c r="J177" s="79" t="s">
        <v>51</v>
      </c>
      <c r="K177" s="80" t="s">
        <v>51</v>
      </c>
      <c r="L177" s="79"/>
      <c r="M177" s="79"/>
      <c r="N177" s="80"/>
      <c r="O177" s="79"/>
      <c r="P177" s="79"/>
      <c r="Q177" s="80"/>
    </row>
    <row r="178" spans="1:17" ht="60" customHeight="1">
      <c r="A178" s="81">
        <v>26</v>
      </c>
      <c r="B178" s="82"/>
      <c r="C178" s="101" t="s">
        <v>306</v>
      </c>
      <c r="D178" s="101" t="s">
        <v>117</v>
      </c>
      <c r="E178" s="84" t="s">
        <v>267</v>
      </c>
      <c r="F178" s="85"/>
      <c r="G178" s="86" t="s">
        <v>307</v>
      </c>
      <c r="H178" s="87" t="s">
        <v>307</v>
      </c>
      <c r="I178" s="85"/>
      <c r="J178" s="86" t="s">
        <v>307</v>
      </c>
      <c r="K178" s="87" t="s">
        <v>307</v>
      </c>
      <c r="L178" s="86"/>
      <c r="M178" s="86"/>
      <c r="N178" s="87"/>
      <c r="O178" s="86"/>
      <c r="P178" s="86"/>
      <c r="Q178" s="87"/>
    </row>
    <row r="179" spans="1:17" ht="45" customHeight="1">
      <c r="A179" s="81">
        <v>26</v>
      </c>
      <c r="B179" s="82"/>
      <c r="C179" s="101" t="s">
        <v>306</v>
      </c>
      <c r="D179" s="101" t="s">
        <v>117</v>
      </c>
      <c r="E179" s="84" t="s">
        <v>267</v>
      </c>
      <c r="F179" s="85"/>
      <c r="G179" s="85"/>
      <c r="H179" s="88"/>
      <c r="I179" s="85"/>
      <c r="J179" s="85"/>
      <c r="K179" s="88"/>
      <c r="L179" s="86"/>
      <c r="M179" s="86"/>
      <c r="N179" s="87"/>
      <c r="O179" s="86"/>
      <c r="P179" s="86"/>
      <c r="Q179" s="87"/>
    </row>
    <row r="180" spans="1:17" ht="14.45" customHeight="1">
      <c r="A180" s="81">
        <v>26</v>
      </c>
      <c r="B180" s="82"/>
      <c r="C180" s="101" t="s">
        <v>306</v>
      </c>
      <c r="D180" s="101" t="s">
        <v>117</v>
      </c>
      <c r="E180" s="84" t="s">
        <v>267</v>
      </c>
      <c r="F180" s="89">
        <v>185</v>
      </c>
      <c r="G180" s="89">
        <v>151</v>
      </c>
      <c r="H180" s="90">
        <v>60</v>
      </c>
      <c r="I180" s="89">
        <v>146</v>
      </c>
      <c r="J180" s="89">
        <v>31</v>
      </c>
      <c r="K180" s="90">
        <v>5</v>
      </c>
      <c r="L180" s="86"/>
      <c r="M180" s="86"/>
      <c r="N180" s="87"/>
      <c r="O180" s="86"/>
      <c r="P180" s="86"/>
      <c r="Q180" s="87"/>
    </row>
    <row r="181" spans="1:17" ht="45" customHeight="1">
      <c r="A181" s="81">
        <v>26</v>
      </c>
      <c r="B181" s="82"/>
      <c r="C181" s="101" t="s">
        <v>306</v>
      </c>
      <c r="D181" s="101" t="s">
        <v>117</v>
      </c>
      <c r="E181" s="84" t="s">
        <v>267</v>
      </c>
      <c r="F181" s="85"/>
      <c r="G181" s="85"/>
      <c r="H181" s="88"/>
      <c r="I181" s="85"/>
      <c r="J181" s="85"/>
      <c r="K181" s="88"/>
      <c r="L181" s="86"/>
      <c r="M181" s="86"/>
      <c r="N181" s="87"/>
      <c r="O181" s="86"/>
      <c r="P181" s="86"/>
      <c r="Q181" s="87"/>
    </row>
    <row r="182" spans="1:17" ht="14.45" customHeight="1">
      <c r="A182" s="81">
        <v>26</v>
      </c>
      <c r="B182" s="82"/>
      <c r="C182" s="101" t="s">
        <v>306</v>
      </c>
      <c r="D182" s="101" t="s">
        <v>117</v>
      </c>
      <c r="E182" s="84" t="s">
        <v>267</v>
      </c>
      <c r="F182" s="85"/>
      <c r="G182" s="85"/>
      <c r="H182" s="88"/>
      <c r="I182" s="85"/>
      <c r="J182" s="85"/>
      <c r="K182" s="88"/>
      <c r="L182" s="86"/>
      <c r="M182" s="86"/>
      <c r="N182" s="87"/>
      <c r="O182" s="86"/>
      <c r="P182" s="86"/>
      <c r="Q182" s="87"/>
    </row>
    <row r="183" spans="1:17" ht="24" customHeight="1">
      <c r="A183" s="91">
        <v>26</v>
      </c>
      <c r="B183" s="92"/>
      <c r="C183" s="102" t="s">
        <v>306</v>
      </c>
      <c r="D183" s="102" t="s">
        <v>117</v>
      </c>
      <c r="E183" s="94" t="s">
        <v>267</v>
      </c>
      <c r="F183" s="95" t="s">
        <v>56</v>
      </c>
      <c r="G183" s="96">
        <v>81900</v>
      </c>
      <c r="H183" s="97">
        <v>81900</v>
      </c>
      <c r="I183" s="95" t="s">
        <v>56</v>
      </c>
      <c r="J183" s="96">
        <v>97300</v>
      </c>
      <c r="K183" s="97">
        <v>97300</v>
      </c>
      <c r="L183" s="98"/>
      <c r="M183" s="98"/>
      <c r="N183" s="99"/>
      <c r="O183" s="98"/>
      <c r="P183" s="98"/>
      <c r="Q183" s="99"/>
    </row>
    <row r="184" spans="1:17" ht="14.45" customHeight="1">
      <c r="A184" s="75">
        <v>27</v>
      </c>
      <c r="B184" s="76"/>
      <c r="C184" s="100" t="s">
        <v>308</v>
      </c>
      <c r="D184" s="100" t="s">
        <v>117</v>
      </c>
      <c r="E184" s="78" t="s">
        <v>267</v>
      </c>
      <c r="F184" s="79" t="s">
        <v>50</v>
      </c>
      <c r="G184" s="79" t="s">
        <v>50</v>
      </c>
      <c r="H184" s="80" t="s">
        <v>50</v>
      </c>
      <c r="I184" s="79" t="s">
        <v>51</v>
      </c>
      <c r="J184" s="79" t="s">
        <v>51</v>
      </c>
      <c r="K184" s="80" t="s">
        <v>51</v>
      </c>
      <c r="L184" s="79"/>
      <c r="M184" s="79"/>
      <c r="N184" s="80"/>
      <c r="O184" s="79"/>
      <c r="P184" s="79"/>
      <c r="Q184" s="80"/>
    </row>
    <row r="185" spans="1:17" ht="60" customHeight="1">
      <c r="A185" s="81">
        <v>27</v>
      </c>
      <c r="B185" s="82"/>
      <c r="C185" s="101" t="s">
        <v>308</v>
      </c>
      <c r="D185" s="101" t="s">
        <v>117</v>
      </c>
      <c r="E185" s="84" t="s">
        <v>267</v>
      </c>
      <c r="F185" s="85"/>
      <c r="G185" s="86" t="s">
        <v>309</v>
      </c>
      <c r="H185" s="87" t="s">
        <v>309</v>
      </c>
      <c r="I185" s="85"/>
      <c r="J185" s="86" t="s">
        <v>309</v>
      </c>
      <c r="K185" s="87" t="s">
        <v>309</v>
      </c>
      <c r="L185" s="86"/>
      <c r="M185" s="86"/>
      <c r="N185" s="87"/>
      <c r="O185" s="86"/>
      <c r="P185" s="86"/>
      <c r="Q185" s="87"/>
    </row>
    <row r="186" spans="1:17" ht="45" customHeight="1">
      <c r="A186" s="81">
        <v>27</v>
      </c>
      <c r="B186" s="82"/>
      <c r="C186" s="101" t="s">
        <v>308</v>
      </c>
      <c r="D186" s="101" t="s">
        <v>117</v>
      </c>
      <c r="E186" s="84" t="s">
        <v>267</v>
      </c>
      <c r="F186" s="85"/>
      <c r="G186" s="85"/>
      <c r="H186" s="88"/>
      <c r="I186" s="85"/>
      <c r="J186" s="85"/>
      <c r="K186" s="88"/>
      <c r="L186" s="86"/>
      <c r="M186" s="86"/>
      <c r="N186" s="87"/>
      <c r="O186" s="86"/>
      <c r="P186" s="86"/>
      <c r="Q186" s="87"/>
    </row>
    <row r="187" spans="1:17" ht="14.45" customHeight="1">
      <c r="A187" s="81">
        <v>27</v>
      </c>
      <c r="B187" s="82"/>
      <c r="C187" s="101" t="s">
        <v>308</v>
      </c>
      <c r="D187" s="101" t="s">
        <v>117</v>
      </c>
      <c r="E187" s="84" t="s">
        <v>267</v>
      </c>
      <c r="F187" s="89">
        <v>57</v>
      </c>
      <c r="G187" s="89">
        <v>148</v>
      </c>
      <c r="H187" s="90">
        <v>121</v>
      </c>
      <c r="I187" s="89">
        <v>110</v>
      </c>
      <c r="J187" s="89">
        <v>97</v>
      </c>
      <c r="K187" s="90">
        <v>21</v>
      </c>
      <c r="L187" s="86"/>
      <c r="M187" s="86"/>
      <c r="N187" s="87"/>
      <c r="O187" s="86"/>
      <c r="P187" s="86"/>
      <c r="Q187" s="87"/>
    </row>
    <row r="188" spans="1:17" ht="45" customHeight="1">
      <c r="A188" s="81">
        <v>27</v>
      </c>
      <c r="B188" s="82"/>
      <c r="C188" s="101" t="s">
        <v>308</v>
      </c>
      <c r="D188" s="101" t="s">
        <v>117</v>
      </c>
      <c r="E188" s="84" t="s">
        <v>267</v>
      </c>
      <c r="F188" s="85"/>
      <c r="G188" s="85"/>
      <c r="H188" s="88"/>
      <c r="I188" s="85"/>
      <c r="J188" s="85"/>
      <c r="K188" s="88"/>
      <c r="L188" s="86"/>
      <c r="M188" s="86"/>
      <c r="N188" s="87"/>
      <c r="O188" s="86"/>
      <c r="P188" s="86"/>
      <c r="Q188" s="87"/>
    </row>
    <row r="189" spans="1:17" ht="14.45" customHeight="1">
      <c r="A189" s="81">
        <v>27</v>
      </c>
      <c r="B189" s="82"/>
      <c r="C189" s="101" t="s">
        <v>308</v>
      </c>
      <c r="D189" s="101" t="s">
        <v>117</v>
      </c>
      <c r="E189" s="84" t="s">
        <v>267</v>
      </c>
      <c r="F189" s="89">
        <v>48</v>
      </c>
      <c r="G189" s="85"/>
      <c r="H189" s="88"/>
      <c r="I189" s="89">
        <v>5</v>
      </c>
      <c r="J189" s="85"/>
      <c r="K189" s="88"/>
      <c r="L189" s="86"/>
      <c r="M189" s="86"/>
      <c r="N189" s="87"/>
      <c r="O189" s="86"/>
      <c r="P189" s="86"/>
      <c r="Q189" s="87"/>
    </row>
    <row r="190" spans="1:17" ht="24" customHeight="1">
      <c r="A190" s="91">
        <v>27</v>
      </c>
      <c r="B190" s="92"/>
      <c r="C190" s="102" t="s">
        <v>308</v>
      </c>
      <c r="D190" s="102" t="s">
        <v>117</v>
      </c>
      <c r="E190" s="94" t="s">
        <v>267</v>
      </c>
      <c r="F190" s="95" t="s">
        <v>56</v>
      </c>
      <c r="G190" s="96">
        <v>76900</v>
      </c>
      <c r="H190" s="97">
        <v>76900</v>
      </c>
      <c r="I190" s="95" t="s">
        <v>56</v>
      </c>
      <c r="J190" s="96">
        <v>110000</v>
      </c>
      <c r="K190" s="97">
        <v>110000</v>
      </c>
      <c r="L190" s="98"/>
      <c r="M190" s="98"/>
      <c r="N190" s="99"/>
      <c r="O190" s="98"/>
      <c r="P190" s="98"/>
      <c r="Q190" s="99"/>
    </row>
    <row r="191" spans="1:17" ht="14.45" customHeight="1">
      <c r="A191" s="75">
        <v>28</v>
      </c>
      <c r="B191" s="76"/>
      <c r="C191" s="100" t="s">
        <v>310</v>
      </c>
      <c r="D191" s="100" t="s">
        <v>117</v>
      </c>
      <c r="E191" s="78" t="s">
        <v>267</v>
      </c>
      <c r="F191" s="79" t="s">
        <v>50</v>
      </c>
      <c r="G191" s="79" t="s">
        <v>50</v>
      </c>
      <c r="H191" s="80" t="s">
        <v>50</v>
      </c>
      <c r="I191" s="79" t="s">
        <v>51</v>
      </c>
      <c r="J191" s="79" t="s">
        <v>51</v>
      </c>
      <c r="K191" s="80" t="s">
        <v>51</v>
      </c>
      <c r="L191" s="79"/>
      <c r="M191" s="79"/>
      <c r="N191" s="80"/>
      <c r="O191" s="79"/>
      <c r="P191" s="79"/>
      <c r="Q191" s="80"/>
    </row>
    <row r="192" spans="1:17" ht="60" customHeight="1">
      <c r="A192" s="81">
        <v>28</v>
      </c>
      <c r="B192" s="82"/>
      <c r="C192" s="101" t="s">
        <v>310</v>
      </c>
      <c r="D192" s="101" t="s">
        <v>117</v>
      </c>
      <c r="E192" s="84" t="s">
        <v>267</v>
      </c>
      <c r="F192" s="85"/>
      <c r="G192" s="86" t="s">
        <v>311</v>
      </c>
      <c r="H192" s="87" t="s">
        <v>311</v>
      </c>
      <c r="I192" s="85"/>
      <c r="J192" s="86" t="s">
        <v>311</v>
      </c>
      <c r="K192" s="87" t="s">
        <v>311</v>
      </c>
      <c r="L192" s="86"/>
      <c r="M192" s="86"/>
      <c r="N192" s="87"/>
      <c r="O192" s="86"/>
      <c r="P192" s="86"/>
      <c r="Q192" s="87"/>
    </row>
    <row r="193" spans="1:17" ht="45" customHeight="1">
      <c r="A193" s="81">
        <v>28</v>
      </c>
      <c r="B193" s="82"/>
      <c r="C193" s="101" t="s">
        <v>310</v>
      </c>
      <c r="D193" s="101" t="s">
        <v>117</v>
      </c>
      <c r="E193" s="84" t="s">
        <v>267</v>
      </c>
      <c r="F193" s="85"/>
      <c r="G193" s="85"/>
      <c r="H193" s="88"/>
      <c r="I193" s="85"/>
      <c r="J193" s="85"/>
      <c r="K193" s="88"/>
      <c r="L193" s="86"/>
      <c r="M193" s="86"/>
      <c r="N193" s="87"/>
      <c r="O193" s="86"/>
      <c r="P193" s="86"/>
      <c r="Q193" s="87"/>
    </row>
    <row r="194" spans="1:17" ht="14.45" customHeight="1">
      <c r="A194" s="81">
        <v>28</v>
      </c>
      <c r="B194" s="82"/>
      <c r="C194" s="101" t="s">
        <v>310</v>
      </c>
      <c r="D194" s="101" t="s">
        <v>117</v>
      </c>
      <c r="E194" s="84" t="s">
        <v>267</v>
      </c>
      <c r="F194" s="89">
        <v>57</v>
      </c>
      <c r="G194" s="89">
        <v>148</v>
      </c>
      <c r="H194" s="90">
        <v>121</v>
      </c>
      <c r="I194" s="89">
        <v>110</v>
      </c>
      <c r="J194" s="89">
        <v>97</v>
      </c>
      <c r="K194" s="90">
        <v>21</v>
      </c>
      <c r="L194" s="86"/>
      <c r="M194" s="86"/>
      <c r="N194" s="87"/>
      <c r="O194" s="86"/>
      <c r="P194" s="86"/>
      <c r="Q194" s="87"/>
    </row>
    <row r="195" spans="1:17" ht="45" customHeight="1">
      <c r="A195" s="81">
        <v>28</v>
      </c>
      <c r="B195" s="82"/>
      <c r="C195" s="101" t="s">
        <v>310</v>
      </c>
      <c r="D195" s="101" t="s">
        <v>117</v>
      </c>
      <c r="E195" s="84" t="s">
        <v>267</v>
      </c>
      <c r="F195" s="85"/>
      <c r="G195" s="85"/>
      <c r="H195" s="88"/>
      <c r="I195" s="85"/>
      <c r="J195" s="85"/>
      <c r="K195" s="88"/>
      <c r="L195" s="86"/>
      <c r="M195" s="86"/>
      <c r="N195" s="87"/>
      <c r="O195" s="86"/>
      <c r="P195" s="86"/>
      <c r="Q195" s="87"/>
    </row>
    <row r="196" spans="1:17" ht="14.45" customHeight="1">
      <c r="A196" s="81">
        <v>28</v>
      </c>
      <c r="B196" s="82"/>
      <c r="C196" s="101" t="s">
        <v>310</v>
      </c>
      <c r="D196" s="101" t="s">
        <v>117</v>
      </c>
      <c r="E196" s="84" t="s">
        <v>267</v>
      </c>
      <c r="F196" s="89">
        <v>48</v>
      </c>
      <c r="G196" s="85"/>
      <c r="H196" s="88"/>
      <c r="I196" s="89">
        <v>5</v>
      </c>
      <c r="J196" s="85"/>
      <c r="K196" s="88"/>
      <c r="L196" s="86"/>
      <c r="M196" s="86"/>
      <c r="N196" s="87"/>
      <c r="O196" s="86"/>
      <c r="P196" s="86"/>
      <c r="Q196" s="87"/>
    </row>
    <row r="197" spans="1:17" ht="24" customHeight="1">
      <c r="A197" s="91">
        <v>28</v>
      </c>
      <c r="B197" s="92"/>
      <c r="C197" s="102" t="s">
        <v>310</v>
      </c>
      <c r="D197" s="102" t="s">
        <v>117</v>
      </c>
      <c r="E197" s="94" t="s">
        <v>267</v>
      </c>
      <c r="F197" s="95" t="s">
        <v>56</v>
      </c>
      <c r="G197" s="96">
        <v>76900</v>
      </c>
      <c r="H197" s="97">
        <v>76900</v>
      </c>
      <c r="I197" s="95" t="s">
        <v>56</v>
      </c>
      <c r="J197" s="96">
        <v>110000</v>
      </c>
      <c r="K197" s="97">
        <v>110000</v>
      </c>
      <c r="L197" s="98"/>
      <c r="M197" s="98"/>
      <c r="N197" s="99"/>
      <c r="O197" s="98"/>
      <c r="P197" s="98"/>
      <c r="Q197" s="99"/>
    </row>
    <row r="198" spans="1:17" ht="14.45" customHeight="1">
      <c r="A198" s="75">
        <v>29</v>
      </c>
      <c r="B198" s="76"/>
      <c r="C198" s="100" t="s">
        <v>312</v>
      </c>
      <c r="D198" s="100" t="s">
        <v>117</v>
      </c>
      <c r="E198" s="78" t="s">
        <v>267</v>
      </c>
      <c r="F198" s="79" t="s">
        <v>50</v>
      </c>
      <c r="G198" s="79" t="s">
        <v>50</v>
      </c>
      <c r="H198" s="80" t="s">
        <v>50</v>
      </c>
      <c r="I198" s="79" t="s">
        <v>51</v>
      </c>
      <c r="J198" s="79" t="s">
        <v>51</v>
      </c>
      <c r="K198" s="80" t="s">
        <v>51</v>
      </c>
      <c r="L198" s="79"/>
      <c r="M198" s="79"/>
      <c r="N198" s="80"/>
      <c r="O198" s="79"/>
      <c r="P198" s="79"/>
      <c r="Q198" s="80"/>
    </row>
    <row r="199" spans="1:17" ht="60" customHeight="1">
      <c r="A199" s="81">
        <v>29</v>
      </c>
      <c r="B199" s="82"/>
      <c r="C199" s="101" t="s">
        <v>312</v>
      </c>
      <c r="D199" s="101" t="s">
        <v>117</v>
      </c>
      <c r="E199" s="84" t="s">
        <v>267</v>
      </c>
      <c r="F199" s="85"/>
      <c r="G199" s="86" t="s">
        <v>313</v>
      </c>
      <c r="H199" s="87" t="s">
        <v>313</v>
      </c>
      <c r="I199" s="85"/>
      <c r="J199" s="86" t="s">
        <v>313</v>
      </c>
      <c r="K199" s="87" t="s">
        <v>313</v>
      </c>
      <c r="L199" s="86"/>
      <c r="M199" s="86"/>
      <c r="N199" s="87"/>
      <c r="O199" s="86"/>
      <c r="P199" s="86"/>
      <c r="Q199" s="87"/>
    </row>
    <row r="200" spans="1:17" ht="45" customHeight="1">
      <c r="A200" s="81">
        <v>29</v>
      </c>
      <c r="B200" s="82"/>
      <c r="C200" s="101" t="s">
        <v>312</v>
      </c>
      <c r="D200" s="101" t="s">
        <v>117</v>
      </c>
      <c r="E200" s="84" t="s">
        <v>267</v>
      </c>
      <c r="F200" s="85"/>
      <c r="G200" s="85"/>
      <c r="H200" s="88"/>
      <c r="I200" s="85"/>
      <c r="J200" s="85"/>
      <c r="K200" s="88"/>
      <c r="L200" s="86"/>
      <c r="M200" s="86"/>
      <c r="N200" s="87"/>
      <c r="O200" s="86"/>
      <c r="P200" s="86"/>
      <c r="Q200" s="87"/>
    </row>
    <row r="201" spans="1:17" ht="14.45" customHeight="1">
      <c r="A201" s="81">
        <v>29</v>
      </c>
      <c r="B201" s="82"/>
      <c r="C201" s="101" t="s">
        <v>312</v>
      </c>
      <c r="D201" s="101" t="s">
        <v>117</v>
      </c>
      <c r="E201" s="84" t="s">
        <v>267</v>
      </c>
      <c r="F201" s="89">
        <v>57</v>
      </c>
      <c r="G201" s="89">
        <v>148</v>
      </c>
      <c r="H201" s="90">
        <v>121</v>
      </c>
      <c r="I201" s="89">
        <v>110</v>
      </c>
      <c r="J201" s="89">
        <v>97</v>
      </c>
      <c r="K201" s="90">
        <v>21</v>
      </c>
      <c r="L201" s="86"/>
      <c r="M201" s="86"/>
      <c r="N201" s="87"/>
      <c r="O201" s="86"/>
      <c r="P201" s="86"/>
      <c r="Q201" s="87"/>
    </row>
    <row r="202" spans="1:17" ht="45" customHeight="1">
      <c r="A202" s="81">
        <v>29</v>
      </c>
      <c r="B202" s="82"/>
      <c r="C202" s="101" t="s">
        <v>312</v>
      </c>
      <c r="D202" s="101" t="s">
        <v>117</v>
      </c>
      <c r="E202" s="84" t="s">
        <v>267</v>
      </c>
      <c r="F202" s="85"/>
      <c r="G202" s="85"/>
      <c r="H202" s="88"/>
      <c r="I202" s="85"/>
      <c r="J202" s="85"/>
      <c r="K202" s="88"/>
      <c r="L202" s="86"/>
      <c r="M202" s="86"/>
      <c r="N202" s="87"/>
      <c r="O202" s="86"/>
      <c r="P202" s="86"/>
      <c r="Q202" s="87"/>
    </row>
    <row r="203" spans="1:17" ht="14.45" customHeight="1">
      <c r="A203" s="81">
        <v>29</v>
      </c>
      <c r="B203" s="82"/>
      <c r="C203" s="101" t="s">
        <v>312</v>
      </c>
      <c r="D203" s="101" t="s">
        <v>117</v>
      </c>
      <c r="E203" s="84" t="s">
        <v>267</v>
      </c>
      <c r="F203" s="89">
        <v>48</v>
      </c>
      <c r="G203" s="85"/>
      <c r="H203" s="88"/>
      <c r="I203" s="89">
        <v>5</v>
      </c>
      <c r="J203" s="85"/>
      <c r="K203" s="88"/>
      <c r="L203" s="86"/>
      <c r="M203" s="86"/>
      <c r="N203" s="87"/>
      <c r="O203" s="86"/>
      <c r="P203" s="86"/>
      <c r="Q203" s="87"/>
    </row>
    <row r="204" spans="1:17" ht="24" customHeight="1">
      <c r="A204" s="91">
        <v>29</v>
      </c>
      <c r="B204" s="92"/>
      <c r="C204" s="102" t="s">
        <v>312</v>
      </c>
      <c r="D204" s="102" t="s">
        <v>117</v>
      </c>
      <c r="E204" s="94" t="s">
        <v>267</v>
      </c>
      <c r="F204" s="95" t="s">
        <v>56</v>
      </c>
      <c r="G204" s="96">
        <v>76900</v>
      </c>
      <c r="H204" s="97">
        <v>76900</v>
      </c>
      <c r="I204" s="95" t="s">
        <v>56</v>
      </c>
      <c r="J204" s="96">
        <v>110000</v>
      </c>
      <c r="K204" s="97">
        <v>110000</v>
      </c>
      <c r="L204" s="98"/>
      <c r="M204" s="98"/>
      <c r="N204" s="99"/>
      <c r="O204" s="98"/>
      <c r="P204" s="98"/>
      <c r="Q204" s="99"/>
    </row>
    <row r="205" spans="1:17" ht="14.45" customHeight="1">
      <c r="A205" s="75">
        <v>30</v>
      </c>
      <c r="B205" s="76"/>
      <c r="C205" s="100" t="s">
        <v>314</v>
      </c>
      <c r="D205" s="100" t="s">
        <v>117</v>
      </c>
      <c r="E205" s="78" t="s">
        <v>267</v>
      </c>
      <c r="F205" s="79" t="s">
        <v>50</v>
      </c>
      <c r="G205" s="79" t="s">
        <v>50</v>
      </c>
      <c r="H205" s="80" t="s">
        <v>50</v>
      </c>
      <c r="I205" s="79" t="s">
        <v>51</v>
      </c>
      <c r="J205" s="79" t="s">
        <v>51</v>
      </c>
      <c r="K205" s="80" t="s">
        <v>51</v>
      </c>
      <c r="L205" s="79"/>
      <c r="M205" s="79"/>
      <c r="N205" s="80"/>
      <c r="O205" s="79"/>
      <c r="P205" s="79"/>
      <c r="Q205" s="80"/>
    </row>
    <row r="206" spans="1:17" ht="60" customHeight="1">
      <c r="A206" s="81">
        <v>30</v>
      </c>
      <c r="B206" s="82"/>
      <c r="C206" s="101" t="s">
        <v>314</v>
      </c>
      <c r="D206" s="101" t="s">
        <v>117</v>
      </c>
      <c r="E206" s="84" t="s">
        <v>267</v>
      </c>
      <c r="F206" s="85"/>
      <c r="G206" s="86" t="s">
        <v>315</v>
      </c>
      <c r="H206" s="87" t="s">
        <v>315</v>
      </c>
      <c r="I206" s="85"/>
      <c r="J206" s="86" t="s">
        <v>315</v>
      </c>
      <c r="K206" s="87" t="s">
        <v>315</v>
      </c>
      <c r="L206" s="86"/>
      <c r="M206" s="86"/>
      <c r="N206" s="87"/>
      <c r="O206" s="86"/>
      <c r="P206" s="86"/>
      <c r="Q206" s="87"/>
    </row>
    <row r="207" spans="1:17" ht="45" customHeight="1">
      <c r="A207" s="81">
        <v>30</v>
      </c>
      <c r="B207" s="82"/>
      <c r="C207" s="101" t="s">
        <v>314</v>
      </c>
      <c r="D207" s="101" t="s">
        <v>117</v>
      </c>
      <c r="E207" s="84" t="s">
        <v>267</v>
      </c>
      <c r="F207" s="85"/>
      <c r="G207" s="85"/>
      <c r="H207" s="88"/>
      <c r="I207" s="85"/>
      <c r="J207" s="85"/>
      <c r="K207" s="88"/>
      <c r="L207" s="86"/>
      <c r="M207" s="86"/>
      <c r="N207" s="87"/>
      <c r="O207" s="86"/>
      <c r="P207" s="86"/>
      <c r="Q207" s="87"/>
    </row>
    <row r="208" spans="1:17" ht="14.45" customHeight="1">
      <c r="A208" s="81">
        <v>30</v>
      </c>
      <c r="B208" s="82"/>
      <c r="C208" s="101" t="s">
        <v>314</v>
      </c>
      <c r="D208" s="101" t="s">
        <v>117</v>
      </c>
      <c r="E208" s="84" t="s">
        <v>267</v>
      </c>
      <c r="F208" s="89">
        <v>57</v>
      </c>
      <c r="G208" s="89">
        <v>148</v>
      </c>
      <c r="H208" s="90">
        <v>121</v>
      </c>
      <c r="I208" s="89">
        <v>110</v>
      </c>
      <c r="J208" s="89">
        <v>97</v>
      </c>
      <c r="K208" s="90">
        <v>21</v>
      </c>
      <c r="L208" s="86"/>
      <c r="M208" s="86"/>
      <c r="N208" s="87"/>
      <c r="O208" s="86"/>
      <c r="P208" s="86"/>
      <c r="Q208" s="87"/>
    </row>
    <row r="209" spans="1:17" ht="45" customHeight="1">
      <c r="A209" s="81">
        <v>30</v>
      </c>
      <c r="B209" s="82"/>
      <c r="C209" s="101" t="s">
        <v>314</v>
      </c>
      <c r="D209" s="101" t="s">
        <v>117</v>
      </c>
      <c r="E209" s="84" t="s">
        <v>267</v>
      </c>
      <c r="F209" s="85"/>
      <c r="G209" s="85"/>
      <c r="H209" s="88"/>
      <c r="I209" s="85"/>
      <c r="J209" s="85"/>
      <c r="K209" s="88"/>
      <c r="L209" s="86"/>
      <c r="M209" s="86"/>
      <c r="N209" s="87"/>
      <c r="O209" s="86"/>
      <c r="P209" s="86"/>
      <c r="Q209" s="87"/>
    </row>
    <row r="210" spans="1:17" ht="14.45" customHeight="1">
      <c r="A210" s="81">
        <v>30</v>
      </c>
      <c r="B210" s="82"/>
      <c r="C210" s="101" t="s">
        <v>314</v>
      </c>
      <c r="D210" s="101" t="s">
        <v>117</v>
      </c>
      <c r="E210" s="84" t="s">
        <v>267</v>
      </c>
      <c r="F210" s="89">
        <v>48</v>
      </c>
      <c r="G210" s="85"/>
      <c r="H210" s="88"/>
      <c r="I210" s="89">
        <v>5</v>
      </c>
      <c r="J210" s="85"/>
      <c r="K210" s="88"/>
      <c r="L210" s="86"/>
      <c r="M210" s="86"/>
      <c r="N210" s="87"/>
      <c r="O210" s="86"/>
      <c r="P210" s="86"/>
      <c r="Q210" s="87"/>
    </row>
    <row r="211" spans="1:17" ht="24" customHeight="1">
      <c r="A211" s="91">
        <v>30</v>
      </c>
      <c r="B211" s="92"/>
      <c r="C211" s="102" t="s">
        <v>314</v>
      </c>
      <c r="D211" s="102" t="s">
        <v>117</v>
      </c>
      <c r="E211" s="94" t="s">
        <v>267</v>
      </c>
      <c r="F211" s="95" t="s">
        <v>56</v>
      </c>
      <c r="G211" s="96">
        <v>76900</v>
      </c>
      <c r="H211" s="97">
        <v>76900</v>
      </c>
      <c r="I211" s="95" t="s">
        <v>56</v>
      </c>
      <c r="J211" s="96">
        <v>110000</v>
      </c>
      <c r="K211" s="97">
        <v>110000</v>
      </c>
      <c r="L211" s="98"/>
      <c r="M211" s="98"/>
      <c r="N211" s="99"/>
      <c r="O211" s="98"/>
      <c r="P211" s="98"/>
      <c r="Q211" s="99"/>
    </row>
    <row r="212" spans="1:17" ht="14.45" customHeight="1">
      <c r="A212" s="75">
        <v>31</v>
      </c>
      <c r="B212" s="76"/>
      <c r="C212" s="100" t="s">
        <v>316</v>
      </c>
      <c r="D212" s="100" t="s">
        <v>117</v>
      </c>
      <c r="E212" s="78" t="s">
        <v>267</v>
      </c>
      <c r="F212" s="79" t="s">
        <v>50</v>
      </c>
      <c r="G212" s="79" t="s">
        <v>50</v>
      </c>
      <c r="H212" s="80" t="s">
        <v>50</v>
      </c>
      <c r="I212" s="79" t="s">
        <v>51</v>
      </c>
      <c r="J212" s="79" t="s">
        <v>51</v>
      </c>
      <c r="K212" s="80" t="s">
        <v>51</v>
      </c>
      <c r="L212" s="79"/>
      <c r="M212" s="79"/>
      <c r="N212" s="80"/>
      <c r="O212" s="79"/>
      <c r="P212" s="79"/>
      <c r="Q212" s="80"/>
    </row>
    <row r="213" spans="1:17" ht="60" customHeight="1">
      <c r="A213" s="81">
        <v>31</v>
      </c>
      <c r="B213" s="82"/>
      <c r="C213" s="101" t="s">
        <v>316</v>
      </c>
      <c r="D213" s="101" t="s">
        <v>117</v>
      </c>
      <c r="E213" s="84" t="s">
        <v>267</v>
      </c>
      <c r="F213" s="85"/>
      <c r="G213" s="86" t="s">
        <v>317</v>
      </c>
      <c r="H213" s="87" t="s">
        <v>317</v>
      </c>
      <c r="I213" s="85"/>
      <c r="J213" s="86" t="s">
        <v>317</v>
      </c>
      <c r="K213" s="87" t="s">
        <v>317</v>
      </c>
      <c r="L213" s="86"/>
      <c r="M213" s="86"/>
      <c r="N213" s="87"/>
      <c r="O213" s="86"/>
      <c r="P213" s="86"/>
      <c r="Q213" s="87"/>
    </row>
    <row r="214" spans="1:17" ht="45" customHeight="1">
      <c r="A214" s="81">
        <v>31</v>
      </c>
      <c r="B214" s="82"/>
      <c r="C214" s="101" t="s">
        <v>316</v>
      </c>
      <c r="D214" s="101" t="s">
        <v>117</v>
      </c>
      <c r="E214" s="84" t="s">
        <v>267</v>
      </c>
      <c r="F214" s="85"/>
      <c r="G214" s="85"/>
      <c r="H214" s="88"/>
      <c r="I214" s="85"/>
      <c r="J214" s="85"/>
      <c r="K214" s="88"/>
      <c r="L214" s="86"/>
      <c r="M214" s="86"/>
      <c r="N214" s="87"/>
      <c r="O214" s="86"/>
      <c r="P214" s="86"/>
      <c r="Q214" s="87"/>
    </row>
    <row r="215" spans="1:17" ht="14.45" customHeight="1">
      <c r="A215" s="81">
        <v>31</v>
      </c>
      <c r="B215" s="82"/>
      <c r="C215" s="101" t="s">
        <v>316</v>
      </c>
      <c r="D215" s="101" t="s">
        <v>117</v>
      </c>
      <c r="E215" s="84" t="s">
        <v>267</v>
      </c>
      <c r="F215" s="89">
        <v>57</v>
      </c>
      <c r="G215" s="89">
        <v>148</v>
      </c>
      <c r="H215" s="90">
        <v>121</v>
      </c>
      <c r="I215" s="89">
        <v>110</v>
      </c>
      <c r="J215" s="89">
        <v>97</v>
      </c>
      <c r="K215" s="90">
        <v>21</v>
      </c>
      <c r="L215" s="86"/>
      <c r="M215" s="86"/>
      <c r="N215" s="87"/>
      <c r="O215" s="86"/>
      <c r="P215" s="86"/>
      <c r="Q215" s="87"/>
    </row>
    <row r="216" spans="1:17" ht="45" customHeight="1">
      <c r="A216" s="81">
        <v>31</v>
      </c>
      <c r="B216" s="82"/>
      <c r="C216" s="101" t="s">
        <v>316</v>
      </c>
      <c r="D216" s="101" t="s">
        <v>117</v>
      </c>
      <c r="E216" s="84" t="s">
        <v>267</v>
      </c>
      <c r="F216" s="85"/>
      <c r="G216" s="85"/>
      <c r="H216" s="88"/>
      <c r="I216" s="85"/>
      <c r="J216" s="85"/>
      <c r="K216" s="88"/>
      <c r="L216" s="86"/>
      <c r="M216" s="86"/>
      <c r="N216" s="87"/>
      <c r="O216" s="86"/>
      <c r="P216" s="86"/>
      <c r="Q216" s="87"/>
    </row>
    <row r="217" spans="1:17" ht="14.45" customHeight="1">
      <c r="A217" s="81">
        <v>31</v>
      </c>
      <c r="B217" s="82"/>
      <c r="C217" s="101" t="s">
        <v>316</v>
      </c>
      <c r="D217" s="101" t="s">
        <v>117</v>
      </c>
      <c r="E217" s="84" t="s">
        <v>267</v>
      </c>
      <c r="F217" s="89">
        <v>48</v>
      </c>
      <c r="G217" s="85"/>
      <c r="H217" s="88"/>
      <c r="I217" s="89">
        <v>5</v>
      </c>
      <c r="J217" s="85"/>
      <c r="K217" s="88"/>
      <c r="L217" s="86"/>
      <c r="M217" s="86"/>
      <c r="N217" s="87"/>
      <c r="O217" s="86"/>
      <c r="P217" s="86"/>
      <c r="Q217" s="87"/>
    </row>
    <row r="218" spans="1:17" ht="24" customHeight="1">
      <c r="A218" s="91">
        <v>31</v>
      </c>
      <c r="B218" s="92"/>
      <c r="C218" s="102" t="s">
        <v>316</v>
      </c>
      <c r="D218" s="102" t="s">
        <v>117</v>
      </c>
      <c r="E218" s="94" t="s">
        <v>267</v>
      </c>
      <c r="F218" s="95" t="s">
        <v>56</v>
      </c>
      <c r="G218" s="96">
        <v>76900</v>
      </c>
      <c r="H218" s="97">
        <v>76900</v>
      </c>
      <c r="I218" s="95" t="s">
        <v>56</v>
      </c>
      <c r="J218" s="96">
        <v>110000</v>
      </c>
      <c r="K218" s="97">
        <v>110000</v>
      </c>
      <c r="L218" s="98"/>
      <c r="M218" s="98"/>
      <c r="N218" s="99"/>
      <c r="O218" s="98"/>
      <c r="P218" s="98"/>
      <c r="Q218" s="99"/>
    </row>
    <row r="219" spans="1:17" ht="14.45" customHeight="1">
      <c r="A219" s="75">
        <v>32</v>
      </c>
      <c r="B219" s="76"/>
      <c r="C219" s="100" t="s">
        <v>318</v>
      </c>
      <c r="D219" s="100" t="s">
        <v>117</v>
      </c>
      <c r="E219" s="78" t="s">
        <v>267</v>
      </c>
      <c r="F219" s="79" t="s">
        <v>50</v>
      </c>
      <c r="G219" s="79" t="s">
        <v>50</v>
      </c>
      <c r="H219" s="80" t="s">
        <v>50</v>
      </c>
      <c r="I219" s="79" t="s">
        <v>51</v>
      </c>
      <c r="J219" s="79" t="s">
        <v>51</v>
      </c>
      <c r="K219" s="80" t="s">
        <v>51</v>
      </c>
      <c r="L219" s="79"/>
      <c r="M219" s="79"/>
      <c r="N219" s="80"/>
      <c r="O219" s="79"/>
      <c r="P219" s="79"/>
      <c r="Q219" s="80"/>
    </row>
    <row r="220" spans="1:17" ht="60" customHeight="1">
      <c r="A220" s="81">
        <v>32</v>
      </c>
      <c r="B220" s="82"/>
      <c r="C220" s="101" t="s">
        <v>318</v>
      </c>
      <c r="D220" s="101" t="s">
        <v>117</v>
      </c>
      <c r="E220" s="84" t="s">
        <v>267</v>
      </c>
      <c r="F220" s="85"/>
      <c r="G220" s="86" t="s">
        <v>319</v>
      </c>
      <c r="H220" s="87" t="s">
        <v>319</v>
      </c>
      <c r="I220" s="85"/>
      <c r="J220" s="86" t="s">
        <v>319</v>
      </c>
      <c r="K220" s="87" t="s">
        <v>319</v>
      </c>
      <c r="L220" s="86"/>
      <c r="M220" s="86"/>
      <c r="N220" s="87"/>
      <c r="O220" s="86"/>
      <c r="P220" s="86"/>
      <c r="Q220" s="87"/>
    </row>
    <row r="221" spans="1:17" ht="45" customHeight="1">
      <c r="A221" s="81">
        <v>32</v>
      </c>
      <c r="B221" s="82"/>
      <c r="C221" s="101" t="s">
        <v>318</v>
      </c>
      <c r="D221" s="101" t="s">
        <v>117</v>
      </c>
      <c r="E221" s="84" t="s">
        <v>267</v>
      </c>
      <c r="F221" s="85"/>
      <c r="G221" s="85"/>
      <c r="H221" s="88"/>
      <c r="I221" s="85"/>
      <c r="J221" s="85"/>
      <c r="K221" s="88"/>
      <c r="L221" s="86"/>
      <c r="M221" s="86"/>
      <c r="N221" s="87"/>
      <c r="O221" s="86"/>
      <c r="P221" s="86"/>
      <c r="Q221" s="87"/>
    </row>
    <row r="222" spans="1:17" ht="14.45" customHeight="1">
      <c r="A222" s="81">
        <v>32</v>
      </c>
      <c r="B222" s="82"/>
      <c r="C222" s="101" t="s">
        <v>318</v>
      </c>
      <c r="D222" s="101" t="s">
        <v>117</v>
      </c>
      <c r="E222" s="84" t="s">
        <v>267</v>
      </c>
      <c r="F222" s="89">
        <v>57</v>
      </c>
      <c r="G222" s="89">
        <v>148</v>
      </c>
      <c r="H222" s="90">
        <v>121</v>
      </c>
      <c r="I222" s="89">
        <v>5</v>
      </c>
      <c r="J222" s="89">
        <v>110</v>
      </c>
      <c r="K222" s="90">
        <v>21</v>
      </c>
      <c r="L222" s="86"/>
      <c r="M222" s="86"/>
      <c r="N222" s="87"/>
      <c r="O222" s="86"/>
      <c r="P222" s="86"/>
      <c r="Q222" s="87"/>
    </row>
    <row r="223" spans="1:17" ht="45" customHeight="1">
      <c r="A223" s="81">
        <v>32</v>
      </c>
      <c r="B223" s="82"/>
      <c r="C223" s="101" t="s">
        <v>318</v>
      </c>
      <c r="D223" s="101" t="s">
        <v>117</v>
      </c>
      <c r="E223" s="84" t="s">
        <v>267</v>
      </c>
      <c r="F223" s="85"/>
      <c r="G223" s="85"/>
      <c r="H223" s="88"/>
      <c r="I223" s="85"/>
      <c r="J223" s="85"/>
      <c r="K223" s="88"/>
      <c r="L223" s="86"/>
      <c r="M223" s="86"/>
      <c r="N223" s="87"/>
      <c r="O223" s="86"/>
      <c r="P223" s="86"/>
      <c r="Q223" s="87"/>
    </row>
    <row r="224" spans="1:17" ht="14.45" customHeight="1">
      <c r="A224" s="81">
        <v>32</v>
      </c>
      <c r="B224" s="82"/>
      <c r="C224" s="101" t="s">
        <v>318</v>
      </c>
      <c r="D224" s="101" t="s">
        <v>117</v>
      </c>
      <c r="E224" s="84" t="s">
        <v>267</v>
      </c>
      <c r="F224" s="89">
        <v>48</v>
      </c>
      <c r="G224" s="85"/>
      <c r="H224" s="88"/>
      <c r="I224" s="89">
        <v>97</v>
      </c>
      <c r="J224" s="85"/>
      <c r="K224" s="88"/>
      <c r="L224" s="86"/>
      <c r="M224" s="86"/>
      <c r="N224" s="87"/>
      <c r="O224" s="86"/>
      <c r="P224" s="86"/>
      <c r="Q224" s="87"/>
    </row>
    <row r="225" spans="1:17" ht="24" customHeight="1">
      <c r="A225" s="91">
        <v>32</v>
      </c>
      <c r="B225" s="92"/>
      <c r="C225" s="102" t="s">
        <v>318</v>
      </c>
      <c r="D225" s="102" t="s">
        <v>117</v>
      </c>
      <c r="E225" s="94" t="s">
        <v>267</v>
      </c>
      <c r="F225" s="95" t="s">
        <v>56</v>
      </c>
      <c r="G225" s="96">
        <v>76900</v>
      </c>
      <c r="H225" s="97">
        <v>76900</v>
      </c>
      <c r="I225" s="95" t="s">
        <v>56</v>
      </c>
      <c r="J225" s="96">
        <v>110000</v>
      </c>
      <c r="K225" s="97">
        <v>110000</v>
      </c>
      <c r="L225" s="98"/>
      <c r="M225" s="98"/>
      <c r="N225" s="99"/>
      <c r="O225" s="98"/>
      <c r="P225" s="98"/>
      <c r="Q225" s="99"/>
    </row>
    <row r="226" spans="1:17" ht="14.45" customHeight="1">
      <c r="A226" s="75">
        <v>33</v>
      </c>
      <c r="B226" s="76"/>
      <c r="C226" s="100" t="s">
        <v>320</v>
      </c>
      <c r="D226" s="100" t="s">
        <v>117</v>
      </c>
      <c r="E226" s="78" t="s">
        <v>267</v>
      </c>
      <c r="F226" s="79" t="s">
        <v>50</v>
      </c>
      <c r="G226" s="79" t="s">
        <v>50</v>
      </c>
      <c r="H226" s="80" t="s">
        <v>50</v>
      </c>
      <c r="I226" s="79" t="s">
        <v>51</v>
      </c>
      <c r="J226" s="79" t="s">
        <v>51</v>
      </c>
      <c r="K226" s="80" t="s">
        <v>51</v>
      </c>
      <c r="L226" s="79"/>
      <c r="M226" s="79"/>
      <c r="N226" s="80"/>
      <c r="O226" s="79"/>
      <c r="P226" s="79"/>
      <c r="Q226" s="80"/>
    </row>
    <row r="227" spans="1:17" ht="60" customHeight="1">
      <c r="A227" s="81">
        <v>33</v>
      </c>
      <c r="B227" s="82"/>
      <c r="C227" s="101" t="s">
        <v>320</v>
      </c>
      <c r="D227" s="101" t="s">
        <v>117</v>
      </c>
      <c r="E227" s="84" t="s">
        <v>267</v>
      </c>
      <c r="F227" s="85"/>
      <c r="G227" s="86" t="s">
        <v>321</v>
      </c>
      <c r="H227" s="87" t="s">
        <v>321</v>
      </c>
      <c r="I227" s="85"/>
      <c r="J227" s="86" t="s">
        <v>321</v>
      </c>
      <c r="K227" s="87" t="s">
        <v>321</v>
      </c>
      <c r="L227" s="86"/>
      <c r="M227" s="86"/>
      <c r="N227" s="87"/>
      <c r="O227" s="86"/>
      <c r="P227" s="86"/>
      <c r="Q227" s="87"/>
    </row>
    <row r="228" spans="1:17" ht="45" customHeight="1">
      <c r="A228" s="81">
        <v>33</v>
      </c>
      <c r="B228" s="82"/>
      <c r="C228" s="101" t="s">
        <v>320</v>
      </c>
      <c r="D228" s="101" t="s">
        <v>117</v>
      </c>
      <c r="E228" s="84" t="s">
        <v>267</v>
      </c>
      <c r="F228" s="85"/>
      <c r="G228" s="85"/>
      <c r="H228" s="88"/>
      <c r="I228" s="85"/>
      <c r="J228" s="85"/>
      <c r="K228" s="88"/>
      <c r="L228" s="86"/>
      <c r="M228" s="86"/>
      <c r="N228" s="87"/>
      <c r="O228" s="86"/>
      <c r="P228" s="86"/>
      <c r="Q228" s="87"/>
    </row>
    <row r="229" spans="1:17" ht="14.45" customHeight="1">
      <c r="A229" s="81">
        <v>33</v>
      </c>
      <c r="B229" s="82"/>
      <c r="C229" s="101" t="s">
        <v>320</v>
      </c>
      <c r="D229" s="101" t="s">
        <v>117</v>
      </c>
      <c r="E229" s="84" t="s">
        <v>267</v>
      </c>
      <c r="F229" s="89">
        <v>57</v>
      </c>
      <c r="G229" s="89">
        <v>148</v>
      </c>
      <c r="H229" s="90">
        <v>121</v>
      </c>
      <c r="I229" s="89">
        <v>110</v>
      </c>
      <c r="J229" s="89">
        <v>97</v>
      </c>
      <c r="K229" s="90">
        <v>21</v>
      </c>
      <c r="L229" s="86"/>
      <c r="M229" s="86"/>
      <c r="N229" s="87"/>
      <c r="O229" s="86"/>
      <c r="P229" s="86"/>
      <c r="Q229" s="87"/>
    </row>
    <row r="230" spans="1:17" ht="45" customHeight="1">
      <c r="A230" s="81">
        <v>33</v>
      </c>
      <c r="B230" s="82"/>
      <c r="C230" s="101" t="s">
        <v>320</v>
      </c>
      <c r="D230" s="101" t="s">
        <v>117</v>
      </c>
      <c r="E230" s="84" t="s">
        <v>267</v>
      </c>
      <c r="F230" s="85"/>
      <c r="G230" s="85"/>
      <c r="H230" s="88"/>
      <c r="I230" s="85"/>
      <c r="J230" s="85"/>
      <c r="K230" s="88"/>
      <c r="L230" s="86"/>
      <c r="M230" s="86"/>
      <c r="N230" s="87"/>
      <c r="O230" s="86"/>
      <c r="P230" s="86"/>
      <c r="Q230" s="87"/>
    </row>
    <row r="231" spans="1:17" ht="14.45" customHeight="1">
      <c r="A231" s="81">
        <v>33</v>
      </c>
      <c r="B231" s="82"/>
      <c r="C231" s="101" t="s">
        <v>320</v>
      </c>
      <c r="D231" s="101" t="s">
        <v>117</v>
      </c>
      <c r="E231" s="84" t="s">
        <v>267</v>
      </c>
      <c r="F231" s="89">
        <v>48</v>
      </c>
      <c r="G231" s="85"/>
      <c r="H231" s="88"/>
      <c r="I231" s="89">
        <v>5</v>
      </c>
      <c r="J231" s="85"/>
      <c r="K231" s="88"/>
      <c r="L231" s="86"/>
      <c r="M231" s="86"/>
      <c r="N231" s="87"/>
      <c r="O231" s="86"/>
      <c r="P231" s="86"/>
      <c r="Q231" s="87"/>
    </row>
    <row r="232" spans="1:17" ht="24" customHeight="1">
      <c r="A232" s="91">
        <v>33</v>
      </c>
      <c r="B232" s="92"/>
      <c r="C232" s="102" t="s">
        <v>320</v>
      </c>
      <c r="D232" s="102" t="s">
        <v>117</v>
      </c>
      <c r="E232" s="94" t="s">
        <v>267</v>
      </c>
      <c r="F232" s="95" t="s">
        <v>56</v>
      </c>
      <c r="G232" s="96">
        <v>76900</v>
      </c>
      <c r="H232" s="97">
        <v>76900</v>
      </c>
      <c r="I232" s="95" t="s">
        <v>56</v>
      </c>
      <c r="J232" s="96">
        <v>110000</v>
      </c>
      <c r="K232" s="97">
        <v>110000</v>
      </c>
      <c r="L232" s="98"/>
      <c r="M232" s="98"/>
      <c r="N232" s="99"/>
      <c r="O232" s="98"/>
      <c r="P232" s="98"/>
      <c r="Q232" s="99"/>
    </row>
    <row r="233" spans="1:17" ht="14.45" customHeight="1">
      <c r="A233" s="75">
        <v>34</v>
      </c>
      <c r="B233" s="76"/>
      <c r="C233" s="100" t="s">
        <v>322</v>
      </c>
      <c r="D233" s="100" t="s">
        <v>117</v>
      </c>
      <c r="E233" s="78" t="s">
        <v>267</v>
      </c>
      <c r="F233" s="79" t="s">
        <v>50</v>
      </c>
      <c r="G233" s="79" t="s">
        <v>50</v>
      </c>
      <c r="H233" s="80" t="s">
        <v>50</v>
      </c>
      <c r="I233" s="79" t="s">
        <v>51</v>
      </c>
      <c r="J233" s="79" t="s">
        <v>51</v>
      </c>
      <c r="K233" s="80" t="s">
        <v>51</v>
      </c>
      <c r="L233" s="79"/>
      <c r="M233" s="79"/>
      <c r="N233" s="80"/>
      <c r="O233" s="79"/>
      <c r="P233" s="79"/>
      <c r="Q233" s="80"/>
    </row>
    <row r="234" spans="1:17" ht="60" customHeight="1">
      <c r="A234" s="81">
        <v>34</v>
      </c>
      <c r="B234" s="82"/>
      <c r="C234" s="101" t="s">
        <v>322</v>
      </c>
      <c r="D234" s="101" t="s">
        <v>117</v>
      </c>
      <c r="E234" s="84" t="s">
        <v>267</v>
      </c>
      <c r="F234" s="85"/>
      <c r="G234" s="86" t="s">
        <v>283</v>
      </c>
      <c r="H234" s="87" t="s">
        <v>283</v>
      </c>
      <c r="I234" s="85"/>
      <c r="J234" s="86" t="s">
        <v>283</v>
      </c>
      <c r="K234" s="87" t="s">
        <v>283</v>
      </c>
      <c r="L234" s="86"/>
      <c r="M234" s="86"/>
      <c r="N234" s="87"/>
      <c r="O234" s="86"/>
      <c r="P234" s="86"/>
      <c r="Q234" s="87"/>
    </row>
    <row r="235" spans="1:17" ht="45" customHeight="1">
      <c r="A235" s="81">
        <v>34</v>
      </c>
      <c r="B235" s="82"/>
      <c r="C235" s="101" t="s">
        <v>322</v>
      </c>
      <c r="D235" s="101" t="s">
        <v>117</v>
      </c>
      <c r="E235" s="84" t="s">
        <v>267</v>
      </c>
      <c r="F235" s="85"/>
      <c r="G235" s="85"/>
      <c r="H235" s="88"/>
      <c r="I235" s="85"/>
      <c r="J235" s="85"/>
      <c r="K235" s="88"/>
      <c r="L235" s="86"/>
      <c r="M235" s="86"/>
      <c r="N235" s="87"/>
      <c r="O235" s="86"/>
      <c r="P235" s="86"/>
      <c r="Q235" s="87"/>
    </row>
    <row r="236" spans="1:17" ht="14.45" customHeight="1">
      <c r="A236" s="81">
        <v>34</v>
      </c>
      <c r="B236" s="82"/>
      <c r="C236" s="101" t="s">
        <v>322</v>
      </c>
      <c r="D236" s="101" t="s">
        <v>117</v>
      </c>
      <c r="E236" s="84" t="s">
        <v>267</v>
      </c>
      <c r="F236" s="89">
        <v>57</v>
      </c>
      <c r="G236" s="89">
        <v>148</v>
      </c>
      <c r="H236" s="90">
        <v>121</v>
      </c>
      <c r="I236" s="89">
        <v>110</v>
      </c>
      <c r="J236" s="89">
        <v>97</v>
      </c>
      <c r="K236" s="90">
        <v>21</v>
      </c>
      <c r="L236" s="86"/>
      <c r="M236" s="86"/>
      <c r="N236" s="87"/>
      <c r="O236" s="86"/>
      <c r="P236" s="86"/>
      <c r="Q236" s="87"/>
    </row>
    <row r="237" spans="1:17" ht="45" customHeight="1">
      <c r="A237" s="81">
        <v>34</v>
      </c>
      <c r="B237" s="82"/>
      <c r="C237" s="101" t="s">
        <v>322</v>
      </c>
      <c r="D237" s="101" t="s">
        <v>117</v>
      </c>
      <c r="E237" s="84" t="s">
        <v>267</v>
      </c>
      <c r="F237" s="85"/>
      <c r="G237" s="85"/>
      <c r="H237" s="88"/>
      <c r="I237" s="85"/>
      <c r="J237" s="85"/>
      <c r="K237" s="88"/>
      <c r="L237" s="86"/>
      <c r="M237" s="86"/>
      <c r="N237" s="87"/>
      <c r="O237" s="86"/>
      <c r="P237" s="86"/>
      <c r="Q237" s="87"/>
    </row>
    <row r="238" spans="1:17" ht="14.45" customHeight="1">
      <c r="A238" s="81">
        <v>34</v>
      </c>
      <c r="B238" s="82"/>
      <c r="C238" s="101" t="s">
        <v>322</v>
      </c>
      <c r="D238" s="101" t="s">
        <v>117</v>
      </c>
      <c r="E238" s="84" t="s">
        <v>267</v>
      </c>
      <c r="F238" s="89">
        <v>48</v>
      </c>
      <c r="G238" s="85"/>
      <c r="H238" s="88"/>
      <c r="I238" s="89">
        <v>5</v>
      </c>
      <c r="J238" s="85"/>
      <c r="K238" s="88"/>
      <c r="L238" s="86"/>
      <c r="M238" s="86"/>
      <c r="N238" s="87"/>
      <c r="O238" s="86"/>
      <c r="P238" s="86"/>
      <c r="Q238" s="87"/>
    </row>
    <row r="239" spans="1:17" ht="24" customHeight="1">
      <c r="A239" s="91">
        <v>34</v>
      </c>
      <c r="B239" s="92"/>
      <c r="C239" s="102" t="s">
        <v>322</v>
      </c>
      <c r="D239" s="102" t="s">
        <v>117</v>
      </c>
      <c r="E239" s="94" t="s">
        <v>267</v>
      </c>
      <c r="F239" s="95" t="s">
        <v>56</v>
      </c>
      <c r="G239" s="96">
        <v>76900</v>
      </c>
      <c r="H239" s="97">
        <v>76900</v>
      </c>
      <c r="I239" s="95" t="s">
        <v>56</v>
      </c>
      <c r="J239" s="96">
        <v>110000</v>
      </c>
      <c r="K239" s="97">
        <v>110000</v>
      </c>
      <c r="L239" s="98"/>
      <c r="M239" s="98"/>
      <c r="N239" s="99"/>
      <c r="O239" s="98"/>
      <c r="P239" s="98"/>
      <c r="Q239" s="99"/>
    </row>
    <row r="240" spans="1:17" ht="14.45" customHeight="1">
      <c r="A240" s="75">
        <v>35</v>
      </c>
      <c r="B240" s="76"/>
      <c r="C240" s="100" t="s">
        <v>323</v>
      </c>
      <c r="D240" s="100" t="s">
        <v>117</v>
      </c>
      <c r="E240" s="78" t="s">
        <v>267</v>
      </c>
      <c r="F240" s="79" t="s">
        <v>50</v>
      </c>
      <c r="G240" s="79" t="s">
        <v>50</v>
      </c>
      <c r="H240" s="80" t="s">
        <v>50</v>
      </c>
      <c r="I240" s="79" t="s">
        <v>51</v>
      </c>
      <c r="J240" s="79" t="s">
        <v>51</v>
      </c>
      <c r="K240" s="80" t="s">
        <v>51</v>
      </c>
      <c r="L240" s="79"/>
      <c r="M240" s="79"/>
      <c r="N240" s="80"/>
      <c r="O240" s="79"/>
      <c r="P240" s="79"/>
      <c r="Q240" s="80"/>
    </row>
    <row r="241" spans="1:17" ht="60" customHeight="1">
      <c r="A241" s="81">
        <v>35</v>
      </c>
      <c r="B241" s="82"/>
      <c r="C241" s="101" t="s">
        <v>323</v>
      </c>
      <c r="D241" s="101" t="s">
        <v>117</v>
      </c>
      <c r="E241" s="84" t="s">
        <v>267</v>
      </c>
      <c r="F241" s="85"/>
      <c r="G241" s="86" t="s">
        <v>324</v>
      </c>
      <c r="H241" s="87" t="s">
        <v>324</v>
      </c>
      <c r="I241" s="85"/>
      <c r="J241" s="86" t="s">
        <v>324</v>
      </c>
      <c r="K241" s="87" t="s">
        <v>324</v>
      </c>
      <c r="L241" s="86"/>
      <c r="M241" s="86"/>
      <c r="N241" s="87"/>
      <c r="O241" s="86"/>
      <c r="P241" s="86"/>
      <c r="Q241" s="87"/>
    </row>
    <row r="242" spans="1:17" ht="45" customHeight="1">
      <c r="A242" s="81">
        <v>35</v>
      </c>
      <c r="B242" s="82"/>
      <c r="C242" s="101" t="s">
        <v>323</v>
      </c>
      <c r="D242" s="101" t="s">
        <v>117</v>
      </c>
      <c r="E242" s="84" t="s">
        <v>267</v>
      </c>
      <c r="F242" s="85"/>
      <c r="G242" s="85"/>
      <c r="H242" s="88"/>
      <c r="I242" s="85"/>
      <c r="J242" s="85"/>
      <c r="K242" s="88"/>
      <c r="L242" s="86"/>
      <c r="M242" s="86"/>
      <c r="N242" s="87"/>
      <c r="O242" s="86"/>
      <c r="P242" s="86"/>
      <c r="Q242" s="87"/>
    </row>
    <row r="243" spans="1:17" ht="14.45" customHeight="1">
      <c r="A243" s="81">
        <v>35</v>
      </c>
      <c r="B243" s="82"/>
      <c r="C243" s="101" t="s">
        <v>323</v>
      </c>
      <c r="D243" s="101" t="s">
        <v>117</v>
      </c>
      <c r="E243" s="84" t="s">
        <v>267</v>
      </c>
      <c r="F243" s="89">
        <v>57</v>
      </c>
      <c r="G243" s="89">
        <v>148</v>
      </c>
      <c r="H243" s="90">
        <v>121</v>
      </c>
      <c r="I243" s="89">
        <v>110</v>
      </c>
      <c r="J243" s="89">
        <v>97</v>
      </c>
      <c r="K243" s="90">
        <v>21</v>
      </c>
      <c r="L243" s="86"/>
      <c r="M243" s="86"/>
      <c r="N243" s="87"/>
      <c r="O243" s="86"/>
      <c r="P243" s="86"/>
      <c r="Q243" s="87"/>
    </row>
    <row r="244" spans="1:17" ht="45" customHeight="1">
      <c r="A244" s="81">
        <v>35</v>
      </c>
      <c r="B244" s="82"/>
      <c r="C244" s="101" t="s">
        <v>323</v>
      </c>
      <c r="D244" s="101" t="s">
        <v>117</v>
      </c>
      <c r="E244" s="84" t="s">
        <v>267</v>
      </c>
      <c r="F244" s="85"/>
      <c r="G244" s="85"/>
      <c r="H244" s="88"/>
      <c r="I244" s="85"/>
      <c r="J244" s="85"/>
      <c r="K244" s="88"/>
      <c r="L244" s="86"/>
      <c r="M244" s="86"/>
      <c r="N244" s="87"/>
      <c r="O244" s="86"/>
      <c r="P244" s="86"/>
      <c r="Q244" s="87"/>
    </row>
    <row r="245" spans="1:17" ht="14.45" customHeight="1">
      <c r="A245" s="81">
        <v>35</v>
      </c>
      <c r="B245" s="82"/>
      <c r="C245" s="101" t="s">
        <v>323</v>
      </c>
      <c r="D245" s="101" t="s">
        <v>117</v>
      </c>
      <c r="E245" s="84" t="s">
        <v>267</v>
      </c>
      <c r="F245" s="89">
        <v>48</v>
      </c>
      <c r="G245" s="85"/>
      <c r="H245" s="88"/>
      <c r="I245" s="89">
        <v>5</v>
      </c>
      <c r="J245" s="85"/>
      <c r="K245" s="88"/>
      <c r="L245" s="86"/>
      <c r="M245" s="86"/>
      <c r="N245" s="87"/>
      <c r="O245" s="86"/>
      <c r="P245" s="86"/>
      <c r="Q245" s="87"/>
    </row>
    <row r="246" spans="1:17" ht="24" customHeight="1">
      <c r="A246" s="91">
        <v>35</v>
      </c>
      <c r="B246" s="92"/>
      <c r="C246" s="102" t="s">
        <v>323</v>
      </c>
      <c r="D246" s="102" t="s">
        <v>117</v>
      </c>
      <c r="E246" s="94" t="s">
        <v>267</v>
      </c>
      <c r="F246" s="95" t="s">
        <v>56</v>
      </c>
      <c r="G246" s="96">
        <v>76900</v>
      </c>
      <c r="H246" s="97">
        <v>76900</v>
      </c>
      <c r="I246" s="95" t="s">
        <v>56</v>
      </c>
      <c r="J246" s="96">
        <v>110000</v>
      </c>
      <c r="K246" s="97">
        <v>110000</v>
      </c>
      <c r="L246" s="98"/>
      <c r="M246" s="98"/>
      <c r="N246" s="99"/>
      <c r="O246" s="98"/>
      <c r="P246" s="98"/>
      <c r="Q246" s="99"/>
    </row>
    <row r="247" spans="1:17" ht="14.45" customHeight="1">
      <c r="A247" s="75">
        <v>36</v>
      </c>
      <c r="B247" s="76"/>
      <c r="C247" s="100" t="s">
        <v>325</v>
      </c>
      <c r="D247" s="100" t="s">
        <v>117</v>
      </c>
      <c r="E247" s="78" t="s">
        <v>267</v>
      </c>
      <c r="F247" s="79" t="s">
        <v>50</v>
      </c>
      <c r="G247" s="79" t="s">
        <v>50</v>
      </c>
      <c r="H247" s="80" t="s">
        <v>50</v>
      </c>
      <c r="I247" s="79" t="s">
        <v>51</v>
      </c>
      <c r="J247" s="79" t="s">
        <v>51</v>
      </c>
      <c r="K247" s="80" t="s">
        <v>51</v>
      </c>
      <c r="L247" s="79"/>
      <c r="M247" s="79"/>
      <c r="N247" s="80"/>
      <c r="O247" s="79"/>
      <c r="P247" s="79"/>
      <c r="Q247" s="80"/>
    </row>
    <row r="248" spans="1:17" ht="60" customHeight="1">
      <c r="A248" s="81">
        <v>36</v>
      </c>
      <c r="B248" s="82"/>
      <c r="C248" s="101" t="s">
        <v>325</v>
      </c>
      <c r="D248" s="101" t="s">
        <v>117</v>
      </c>
      <c r="E248" s="84" t="s">
        <v>267</v>
      </c>
      <c r="F248" s="85"/>
      <c r="G248" s="86" t="s">
        <v>326</v>
      </c>
      <c r="H248" s="87" t="s">
        <v>326</v>
      </c>
      <c r="I248" s="85"/>
      <c r="J248" s="86" t="s">
        <v>326</v>
      </c>
      <c r="K248" s="87" t="s">
        <v>326</v>
      </c>
      <c r="L248" s="86"/>
      <c r="M248" s="86"/>
      <c r="N248" s="87"/>
      <c r="O248" s="86"/>
      <c r="P248" s="86"/>
      <c r="Q248" s="87"/>
    </row>
    <row r="249" spans="1:17" ht="45" customHeight="1">
      <c r="A249" s="81">
        <v>36</v>
      </c>
      <c r="B249" s="82"/>
      <c r="C249" s="101" t="s">
        <v>325</v>
      </c>
      <c r="D249" s="101" t="s">
        <v>117</v>
      </c>
      <c r="E249" s="84" t="s">
        <v>267</v>
      </c>
      <c r="F249" s="85"/>
      <c r="G249" s="85"/>
      <c r="H249" s="88"/>
      <c r="I249" s="85"/>
      <c r="J249" s="85"/>
      <c r="K249" s="88"/>
      <c r="L249" s="86"/>
      <c r="M249" s="86"/>
      <c r="N249" s="87"/>
      <c r="O249" s="86"/>
      <c r="P249" s="86"/>
      <c r="Q249" s="87"/>
    </row>
    <row r="250" spans="1:17" ht="14.45" customHeight="1">
      <c r="A250" s="81">
        <v>36</v>
      </c>
      <c r="B250" s="82"/>
      <c r="C250" s="101" t="s">
        <v>325</v>
      </c>
      <c r="D250" s="101" t="s">
        <v>117</v>
      </c>
      <c r="E250" s="84" t="s">
        <v>267</v>
      </c>
      <c r="F250" s="89">
        <v>57</v>
      </c>
      <c r="G250" s="89">
        <v>148</v>
      </c>
      <c r="H250" s="90">
        <v>121</v>
      </c>
      <c r="I250" s="89">
        <v>110</v>
      </c>
      <c r="J250" s="89">
        <v>97</v>
      </c>
      <c r="K250" s="90">
        <v>21</v>
      </c>
      <c r="L250" s="86"/>
      <c r="M250" s="86"/>
      <c r="N250" s="87"/>
      <c r="O250" s="86"/>
      <c r="P250" s="86"/>
      <c r="Q250" s="87"/>
    </row>
    <row r="251" spans="1:17" ht="45" customHeight="1">
      <c r="A251" s="81">
        <v>36</v>
      </c>
      <c r="B251" s="82"/>
      <c r="C251" s="101" t="s">
        <v>325</v>
      </c>
      <c r="D251" s="101" t="s">
        <v>117</v>
      </c>
      <c r="E251" s="84" t="s">
        <v>267</v>
      </c>
      <c r="F251" s="85"/>
      <c r="G251" s="85"/>
      <c r="H251" s="88"/>
      <c r="I251" s="85"/>
      <c r="J251" s="85"/>
      <c r="K251" s="88"/>
      <c r="L251" s="86"/>
      <c r="M251" s="86"/>
      <c r="N251" s="87"/>
      <c r="O251" s="86"/>
      <c r="P251" s="86"/>
      <c r="Q251" s="87"/>
    </row>
    <row r="252" spans="1:17" ht="14.45" customHeight="1">
      <c r="A252" s="81">
        <v>36</v>
      </c>
      <c r="B252" s="82"/>
      <c r="C252" s="101" t="s">
        <v>325</v>
      </c>
      <c r="D252" s="101" t="s">
        <v>117</v>
      </c>
      <c r="E252" s="84" t="s">
        <v>267</v>
      </c>
      <c r="F252" s="89">
        <v>48</v>
      </c>
      <c r="G252" s="85"/>
      <c r="H252" s="88"/>
      <c r="I252" s="89">
        <v>5</v>
      </c>
      <c r="J252" s="85"/>
      <c r="K252" s="88"/>
      <c r="L252" s="86"/>
      <c r="M252" s="86"/>
      <c r="N252" s="87"/>
      <c r="O252" s="86"/>
      <c r="P252" s="86"/>
      <c r="Q252" s="87"/>
    </row>
    <row r="253" spans="1:17" ht="24" customHeight="1">
      <c r="A253" s="91">
        <v>36</v>
      </c>
      <c r="B253" s="92"/>
      <c r="C253" s="102" t="s">
        <v>325</v>
      </c>
      <c r="D253" s="102" t="s">
        <v>117</v>
      </c>
      <c r="E253" s="94" t="s">
        <v>267</v>
      </c>
      <c r="F253" s="95" t="s">
        <v>56</v>
      </c>
      <c r="G253" s="96">
        <v>76900</v>
      </c>
      <c r="H253" s="97">
        <v>76900</v>
      </c>
      <c r="I253" s="95" t="s">
        <v>56</v>
      </c>
      <c r="J253" s="96">
        <v>110000</v>
      </c>
      <c r="K253" s="97">
        <v>110000</v>
      </c>
      <c r="L253" s="98"/>
      <c r="M253" s="98"/>
      <c r="N253" s="99"/>
      <c r="O253" s="98"/>
      <c r="P253" s="98"/>
      <c r="Q253" s="99"/>
    </row>
    <row r="254" spans="1:17" ht="14.45" customHeight="1">
      <c r="A254" s="75">
        <v>37</v>
      </c>
      <c r="B254" s="76"/>
      <c r="C254" s="100" t="s">
        <v>293</v>
      </c>
      <c r="D254" s="100" t="s">
        <v>117</v>
      </c>
      <c r="E254" s="78" t="s">
        <v>272</v>
      </c>
      <c r="F254" s="79" t="s">
        <v>50</v>
      </c>
      <c r="G254" s="79" t="s">
        <v>50</v>
      </c>
      <c r="H254" s="80" t="s">
        <v>50</v>
      </c>
      <c r="I254" s="79"/>
      <c r="J254" s="79"/>
      <c r="K254" s="80"/>
      <c r="L254" s="79"/>
      <c r="M254" s="79"/>
      <c r="N254" s="80"/>
      <c r="O254" s="79"/>
      <c r="P254" s="79"/>
      <c r="Q254" s="80"/>
    </row>
    <row r="255" spans="1:17" ht="60" customHeight="1">
      <c r="A255" s="81">
        <v>37</v>
      </c>
      <c r="B255" s="82"/>
      <c r="C255" s="101" t="s">
        <v>293</v>
      </c>
      <c r="D255" s="101" t="s">
        <v>117</v>
      </c>
      <c r="E255" s="84" t="s">
        <v>272</v>
      </c>
      <c r="F255" s="85"/>
      <c r="G255" s="86" t="s">
        <v>327</v>
      </c>
      <c r="H255" s="87" t="s">
        <v>327</v>
      </c>
      <c r="I255" s="86"/>
      <c r="J255" s="86"/>
      <c r="K255" s="87"/>
      <c r="L255" s="86"/>
      <c r="M255" s="86"/>
      <c r="N255" s="87"/>
      <c r="O255" s="86"/>
      <c r="P255" s="86"/>
      <c r="Q255" s="87"/>
    </row>
    <row r="256" spans="1:17" ht="45" customHeight="1">
      <c r="A256" s="81">
        <v>37</v>
      </c>
      <c r="B256" s="82"/>
      <c r="C256" s="101" t="s">
        <v>293</v>
      </c>
      <c r="D256" s="101" t="s">
        <v>117</v>
      </c>
      <c r="E256" s="84" t="s">
        <v>272</v>
      </c>
      <c r="F256" s="85"/>
      <c r="G256" s="85"/>
      <c r="H256" s="88"/>
      <c r="I256" s="86"/>
      <c r="J256" s="86"/>
      <c r="K256" s="87"/>
      <c r="L256" s="86"/>
      <c r="M256" s="86"/>
      <c r="N256" s="87"/>
      <c r="O256" s="86"/>
      <c r="P256" s="86"/>
      <c r="Q256" s="87"/>
    </row>
    <row r="257" spans="1:17" ht="14.45" customHeight="1">
      <c r="A257" s="81">
        <v>37</v>
      </c>
      <c r="B257" s="82"/>
      <c r="C257" s="101" t="s">
        <v>293</v>
      </c>
      <c r="D257" s="101" t="s">
        <v>117</v>
      </c>
      <c r="E257" s="84" t="s">
        <v>272</v>
      </c>
      <c r="F257" s="89">
        <v>69</v>
      </c>
      <c r="G257" s="89">
        <v>329</v>
      </c>
      <c r="H257" s="90">
        <v>24</v>
      </c>
      <c r="I257" s="86"/>
      <c r="J257" s="86"/>
      <c r="K257" s="87"/>
      <c r="L257" s="86"/>
      <c r="M257" s="86"/>
      <c r="N257" s="87"/>
      <c r="O257" s="86"/>
      <c r="P257" s="86"/>
      <c r="Q257" s="87"/>
    </row>
    <row r="258" spans="1:17" ht="45" customHeight="1">
      <c r="A258" s="81">
        <v>37</v>
      </c>
      <c r="B258" s="82"/>
      <c r="C258" s="101" t="s">
        <v>293</v>
      </c>
      <c r="D258" s="101" t="s">
        <v>117</v>
      </c>
      <c r="E258" s="84" t="s">
        <v>272</v>
      </c>
      <c r="F258" s="85"/>
      <c r="G258" s="85"/>
      <c r="H258" s="88"/>
      <c r="I258" s="86"/>
      <c r="J258" s="86"/>
      <c r="K258" s="87"/>
      <c r="L258" s="86"/>
      <c r="M258" s="86"/>
      <c r="N258" s="87"/>
      <c r="O258" s="86"/>
      <c r="P258" s="86"/>
      <c r="Q258" s="87"/>
    </row>
    <row r="259" spans="1:17" ht="14.45" customHeight="1">
      <c r="A259" s="81">
        <v>37</v>
      </c>
      <c r="B259" s="82"/>
      <c r="C259" s="101" t="s">
        <v>293</v>
      </c>
      <c r="D259" s="101" t="s">
        <v>117</v>
      </c>
      <c r="E259" s="84" t="s">
        <v>272</v>
      </c>
      <c r="F259" s="89">
        <v>112</v>
      </c>
      <c r="G259" s="85"/>
      <c r="H259" s="88"/>
      <c r="I259" s="86"/>
      <c r="J259" s="86"/>
      <c r="K259" s="87"/>
      <c r="L259" s="86"/>
      <c r="M259" s="86"/>
      <c r="N259" s="87"/>
      <c r="O259" s="86"/>
      <c r="P259" s="86"/>
      <c r="Q259" s="87"/>
    </row>
    <row r="260" spans="1:17" ht="24" customHeight="1">
      <c r="A260" s="91">
        <v>37</v>
      </c>
      <c r="B260" s="92"/>
      <c r="C260" s="102" t="s">
        <v>293</v>
      </c>
      <c r="D260" s="102" t="s">
        <v>117</v>
      </c>
      <c r="E260" s="94" t="s">
        <v>272</v>
      </c>
      <c r="F260" s="95" t="s">
        <v>56</v>
      </c>
      <c r="G260" s="96">
        <v>67600</v>
      </c>
      <c r="H260" s="97">
        <v>67600</v>
      </c>
      <c r="I260" s="98"/>
      <c r="J260" s="98"/>
      <c r="K260" s="99"/>
      <c r="L260" s="98"/>
      <c r="M260" s="98"/>
      <c r="N260" s="99"/>
      <c r="O260" s="98"/>
      <c r="P260" s="98"/>
      <c r="Q260" s="99"/>
    </row>
    <row r="261" spans="1:17" ht="14.45" customHeight="1">
      <c r="A261" s="75">
        <v>38</v>
      </c>
      <c r="B261" s="76"/>
      <c r="C261" s="100" t="s">
        <v>295</v>
      </c>
      <c r="D261" s="100" t="s">
        <v>117</v>
      </c>
      <c r="E261" s="78" t="s">
        <v>272</v>
      </c>
      <c r="F261" s="79" t="s">
        <v>50</v>
      </c>
      <c r="G261" s="79" t="s">
        <v>50</v>
      </c>
      <c r="H261" s="80" t="s">
        <v>50</v>
      </c>
      <c r="I261" s="79"/>
      <c r="J261" s="79"/>
      <c r="K261" s="80"/>
      <c r="L261" s="79"/>
      <c r="M261" s="79"/>
      <c r="N261" s="80"/>
      <c r="O261" s="79"/>
      <c r="P261" s="79"/>
      <c r="Q261" s="80"/>
    </row>
    <row r="262" spans="1:17" ht="60" customHeight="1">
      <c r="A262" s="81">
        <v>38</v>
      </c>
      <c r="B262" s="82"/>
      <c r="C262" s="101" t="s">
        <v>295</v>
      </c>
      <c r="D262" s="101" t="s">
        <v>117</v>
      </c>
      <c r="E262" s="84" t="s">
        <v>272</v>
      </c>
      <c r="F262" s="85"/>
      <c r="G262" s="86" t="s">
        <v>327</v>
      </c>
      <c r="H262" s="87" t="s">
        <v>327</v>
      </c>
      <c r="I262" s="86"/>
      <c r="J262" s="86"/>
      <c r="K262" s="87"/>
      <c r="L262" s="86"/>
      <c r="M262" s="86"/>
      <c r="N262" s="87"/>
      <c r="O262" s="86"/>
      <c r="P262" s="86"/>
      <c r="Q262" s="87"/>
    </row>
    <row r="263" spans="1:17" ht="45" customHeight="1">
      <c r="A263" s="81">
        <v>38</v>
      </c>
      <c r="B263" s="82"/>
      <c r="C263" s="101" t="s">
        <v>295</v>
      </c>
      <c r="D263" s="101" t="s">
        <v>117</v>
      </c>
      <c r="E263" s="84" t="s">
        <v>272</v>
      </c>
      <c r="F263" s="85"/>
      <c r="G263" s="85"/>
      <c r="H263" s="88"/>
      <c r="I263" s="86"/>
      <c r="J263" s="86"/>
      <c r="K263" s="87"/>
      <c r="L263" s="86"/>
      <c r="M263" s="86"/>
      <c r="N263" s="87"/>
      <c r="O263" s="86"/>
      <c r="P263" s="86"/>
      <c r="Q263" s="87"/>
    </row>
    <row r="264" spans="1:17" ht="14.45" customHeight="1">
      <c r="A264" s="81">
        <v>38</v>
      </c>
      <c r="B264" s="82"/>
      <c r="C264" s="101" t="s">
        <v>295</v>
      </c>
      <c r="D264" s="101" t="s">
        <v>117</v>
      </c>
      <c r="E264" s="84" t="s">
        <v>272</v>
      </c>
      <c r="F264" s="89">
        <v>69</v>
      </c>
      <c r="G264" s="89">
        <v>329</v>
      </c>
      <c r="H264" s="90">
        <v>24</v>
      </c>
      <c r="I264" s="86"/>
      <c r="J264" s="86"/>
      <c r="K264" s="87"/>
      <c r="L264" s="86"/>
      <c r="M264" s="86"/>
      <c r="N264" s="87"/>
      <c r="O264" s="86"/>
      <c r="P264" s="86"/>
      <c r="Q264" s="87"/>
    </row>
    <row r="265" spans="1:17" ht="45" customHeight="1">
      <c r="A265" s="81">
        <v>38</v>
      </c>
      <c r="B265" s="82"/>
      <c r="C265" s="101" t="s">
        <v>295</v>
      </c>
      <c r="D265" s="101" t="s">
        <v>117</v>
      </c>
      <c r="E265" s="84" t="s">
        <v>272</v>
      </c>
      <c r="F265" s="85"/>
      <c r="G265" s="85"/>
      <c r="H265" s="88"/>
      <c r="I265" s="86"/>
      <c r="J265" s="86"/>
      <c r="K265" s="87"/>
      <c r="L265" s="86"/>
      <c r="M265" s="86"/>
      <c r="N265" s="87"/>
      <c r="O265" s="86"/>
      <c r="P265" s="86"/>
      <c r="Q265" s="87"/>
    </row>
    <row r="266" spans="1:17" ht="14.45" customHeight="1">
      <c r="A266" s="81">
        <v>38</v>
      </c>
      <c r="B266" s="82"/>
      <c r="C266" s="101" t="s">
        <v>295</v>
      </c>
      <c r="D266" s="101" t="s">
        <v>117</v>
      </c>
      <c r="E266" s="84" t="s">
        <v>272</v>
      </c>
      <c r="F266" s="89">
        <v>112</v>
      </c>
      <c r="G266" s="85"/>
      <c r="H266" s="88"/>
      <c r="I266" s="86"/>
      <c r="J266" s="86"/>
      <c r="K266" s="87"/>
      <c r="L266" s="86"/>
      <c r="M266" s="86"/>
      <c r="N266" s="87"/>
      <c r="O266" s="86"/>
      <c r="P266" s="86"/>
      <c r="Q266" s="87"/>
    </row>
    <row r="267" spans="1:17" ht="24" customHeight="1">
      <c r="A267" s="91">
        <v>38</v>
      </c>
      <c r="B267" s="92"/>
      <c r="C267" s="102" t="s">
        <v>295</v>
      </c>
      <c r="D267" s="102" t="s">
        <v>117</v>
      </c>
      <c r="E267" s="94" t="s">
        <v>272</v>
      </c>
      <c r="F267" s="95" t="s">
        <v>56</v>
      </c>
      <c r="G267" s="96">
        <v>67600</v>
      </c>
      <c r="H267" s="97">
        <v>67600</v>
      </c>
      <c r="I267" s="98"/>
      <c r="J267" s="98"/>
      <c r="K267" s="99"/>
      <c r="L267" s="98"/>
      <c r="M267" s="98"/>
      <c r="N267" s="99"/>
      <c r="O267" s="98"/>
      <c r="P267" s="98"/>
      <c r="Q267" s="99"/>
    </row>
    <row r="268" spans="1:17" ht="14.45" customHeight="1">
      <c r="A268" s="75">
        <v>39</v>
      </c>
      <c r="B268" s="76"/>
      <c r="C268" s="100" t="s">
        <v>328</v>
      </c>
      <c r="D268" s="100" t="s">
        <v>117</v>
      </c>
      <c r="E268" s="78" t="s">
        <v>286</v>
      </c>
      <c r="F268" s="79" t="s">
        <v>50</v>
      </c>
      <c r="G268" s="79" t="s">
        <v>50</v>
      </c>
      <c r="H268" s="80" t="s">
        <v>50</v>
      </c>
      <c r="I268" s="79" t="s">
        <v>51</v>
      </c>
      <c r="J268" s="79" t="s">
        <v>51</v>
      </c>
      <c r="K268" s="80" t="s">
        <v>51</v>
      </c>
      <c r="L268" s="79"/>
      <c r="M268" s="79"/>
      <c r="N268" s="80"/>
      <c r="O268" s="79"/>
      <c r="P268" s="79"/>
      <c r="Q268" s="80"/>
    </row>
    <row r="269" spans="1:17" ht="60" customHeight="1">
      <c r="A269" s="81">
        <v>39</v>
      </c>
      <c r="B269" s="82"/>
      <c r="C269" s="101" t="s">
        <v>328</v>
      </c>
      <c r="D269" s="101" t="s">
        <v>117</v>
      </c>
      <c r="E269" s="84" t="s">
        <v>286</v>
      </c>
      <c r="F269" s="85"/>
      <c r="G269" s="86" t="s">
        <v>329</v>
      </c>
      <c r="H269" s="87" t="s">
        <v>329</v>
      </c>
      <c r="I269" s="85"/>
      <c r="J269" s="86" t="s">
        <v>329</v>
      </c>
      <c r="K269" s="87" t="s">
        <v>329</v>
      </c>
      <c r="L269" s="86"/>
      <c r="M269" s="86"/>
      <c r="N269" s="87"/>
      <c r="O269" s="86"/>
      <c r="P269" s="86"/>
      <c r="Q269" s="87"/>
    </row>
    <row r="270" spans="1:17" ht="45" customHeight="1">
      <c r="A270" s="81">
        <v>39</v>
      </c>
      <c r="B270" s="82"/>
      <c r="C270" s="101" t="s">
        <v>328</v>
      </c>
      <c r="D270" s="101" t="s">
        <v>117</v>
      </c>
      <c r="E270" s="84" t="s">
        <v>286</v>
      </c>
      <c r="F270" s="85"/>
      <c r="G270" s="85"/>
      <c r="H270" s="88"/>
      <c r="I270" s="85"/>
      <c r="J270" s="85"/>
      <c r="K270" s="88"/>
      <c r="L270" s="86"/>
      <c r="M270" s="86"/>
      <c r="N270" s="87"/>
      <c r="O270" s="86"/>
      <c r="P270" s="86"/>
      <c r="Q270" s="87"/>
    </row>
    <row r="271" spans="1:17" ht="14.45" customHeight="1">
      <c r="A271" s="81">
        <v>39</v>
      </c>
      <c r="B271" s="82"/>
      <c r="C271" s="101" t="s">
        <v>328</v>
      </c>
      <c r="D271" s="101" t="s">
        <v>117</v>
      </c>
      <c r="E271" s="84" t="s">
        <v>286</v>
      </c>
      <c r="F271" s="89">
        <v>46</v>
      </c>
      <c r="G271" s="89">
        <v>120</v>
      </c>
      <c r="H271" s="90">
        <v>49</v>
      </c>
      <c r="I271" s="89">
        <v>69</v>
      </c>
      <c r="J271" s="89">
        <v>61</v>
      </c>
      <c r="K271" s="90">
        <v>20</v>
      </c>
      <c r="L271" s="86"/>
      <c r="M271" s="86"/>
      <c r="N271" s="87"/>
      <c r="O271" s="86"/>
      <c r="P271" s="86"/>
      <c r="Q271" s="87"/>
    </row>
    <row r="272" spans="1:17" ht="45" customHeight="1">
      <c r="A272" s="81">
        <v>39</v>
      </c>
      <c r="B272" s="82"/>
      <c r="C272" s="101" t="s">
        <v>328</v>
      </c>
      <c r="D272" s="101" t="s">
        <v>117</v>
      </c>
      <c r="E272" s="84" t="s">
        <v>286</v>
      </c>
      <c r="F272" s="85"/>
      <c r="G272" s="85"/>
      <c r="H272" s="88"/>
      <c r="I272" s="85"/>
      <c r="J272" s="85"/>
      <c r="K272" s="88"/>
      <c r="L272" s="86"/>
      <c r="M272" s="86"/>
      <c r="N272" s="87"/>
      <c r="O272" s="86"/>
      <c r="P272" s="86"/>
      <c r="Q272" s="87"/>
    </row>
    <row r="273" spans="1:17" ht="14.45" customHeight="1">
      <c r="A273" s="81">
        <v>39</v>
      </c>
      <c r="B273" s="82"/>
      <c r="C273" s="101" t="s">
        <v>328</v>
      </c>
      <c r="D273" s="101" t="s">
        <v>117</v>
      </c>
      <c r="E273" s="84" t="s">
        <v>286</v>
      </c>
      <c r="F273" s="89">
        <v>60</v>
      </c>
      <c r="G273" s="85"/>
      <c r="H273" s="88"/>
      <c r="I273" s="89">
        <v>3</v>
      </c>
      <c r="J273" s="85"/>
      <c r="K273" s="88"/>
      <c r="L273" s="86"/>
      <c r="M273" s="86"/>
      <c r="N273" s="87"/>
      <c r="O273" s="86"/>
      <c r="P273" s="86"/>
      <c r="Q273" s="87"/>
    </row>
    <row r="274" spans="1:17" ht="24" customHeight="1">
      <c r="A274" s="91">
        <v>39</v>
      </c>
      <c r="B274" s="92"/>
      <c r="C274" s="102" t="s">
        <v>328</v>
      </c>
      <c r="D274" s="102" t="s">
        <v>117</v>
      </c>
      <c r="E274" s="94" t="s">
        <v>286</v>
      </c>
      <c r="F274" s="95" t="s">
        <v>56</v>
      </c>
      <c r="G274" s="96">
        <v>66300</v>
      </c>
      <c r="H274" s="97">
        <v>66300</v>
      </c>
      <c r="I274" s="95" t="s">
        <v>56</v>
      </c>
      <c r="J274" s="96">
        <v>71400</v>
      </c>
      <c r="K274" s="97">
        <v>71400</v>
      </c>
      <c r="L274" s="98"/>
      <c r="M274" s="98"/>
      <c r="N274" s="99"/>
      <c r="O274" s="98"/>
      <c r="P274" s="98"/>
      <c r="Q274" s="99"/>
    </row>
    <row r="275" spans="1:17" ht="14.45" customHeight="1">
      <c r="A275" s="75">
        <v>40</v>
      </c>
      <c r="B275" s="76"/>
      <c r="C275" s="100" t="s">
        <v>330</v>
      </c>
      <c r="D275" s="100" t="s">
        <v>117</v>
      </c>
      <c r="E275" s="78" t="s">
        <v>331</v>
      </c>
      <c r="F275" s="79" t="s">
        <v>50</v>
      </c>
      <c r="G275" s="79" t="s">
        <v>50</v>
      </c>
      <c r="H275" s="80" t="s">
        <v>50</v>
      </c>
      <c r="I275" s="79" t="s">
        <v>51</v>
      </c>
      <c r="J275" s="79" t="s">
        <v>51</v>
      </c>
      <c r="K275" s="80" t="s">
        <v>51</v>
      </c>
      <c r="L275" s="79"/>
      <c r="M275" s="79"/>
      <c r="N275" s="80"/>
      <c r="O275" s="79"/>
      <c r="P275" s="79"/>
      <c r="Q275" s="80"/>
    </row>
    <row r="276" spans="1:17" ht="60" customHeight="1">
      <c r="A276" s="81">
        <v>40</v>
      </c>
      <c r="B276" s="82"/>
      <c r="C276" s="101" t="s">
        <v>330</v>
      </c>
      <c r="D276" s="101" t="s">
        <v>117</v>
      </c>
      <c r="E276" s="84" t="s">
        <v>331</v>
      </c>
      <c r="F276" s="85"/>
      <c r="G276" s="86" t="s">
        <v>332</v>
      </c>
      <c r="H276" s="87" t="s">
        <v>332</v>
      </c>
      <c r="I276" s="85"/>
      <c r="J276" s="86" t="s">
        <v>332</v>
      </c>
      <c r="K276" s="87" t="s">
        <v>332</v>
      </c>
      <c r="L276" s="86"/>
      <c r="M276" s="86"/>
      <c r="N276" s="87"/>
      <c r="O276" s="86"/>
      <c r="P276" s="86"/>
      <c r="Q276" s="87"/>
    </row>
    <row r="277" spans="1:17" ht="45" customHeight="1">
      <c r="A277" s="81">
        <v>40</v>
      </c>
      <c r="B277" s="82"/>
      <c r="C277" s="101" t="s">
        <v>330</v>
      </c>
      <c r="D277" s="101" t="s">
        <v>117</v>
      </c>
      <c r="E277" s="84" t="s">
        <v>331</v>
      </c>
      <c r="F277" s="85"/>
      <c r="G277" s="85"/>
      <c r="H277" s="88"/>
      <c r="I277" s="85"/>
      <c r="J277" s="85"/>
      <c r="K277" s="88"/>
      <c r="L277" s="86"/>
      <c r="M277" s="86"/>
      <c r="N277" s="87"/>
      <c r="O277" s="86"/>
      <c r="P277" s="86"/>
      <c r="Q277" s="87"/>
    </row>
    <row r="278" spans="1:17" ht="14.45" customHeight="1">
      <c r="A278" s="81">
        <v>40</v>
      </c>
      <c r="B278" s="82"/>
      <c r="C278" s="101" t="s">
        <v>330</v>
      </c>
      <c r="D278" s="101" t="s">
        <v>117</v>
      </c>
      <c r="E278" s="84" t="s">
        <v>331</v>
      </c>
      <c r="F278" s="89">
        <v>46</v>
      </c>
      <c r="G278" s="89">
        <v>120</v>
      </c>
      <c r="H278" s="90">
        <v>76</v>
      </c>
      <c r="I278" s="89">
        <v>81</v>
      </c>
      <c r="J278" s="89">
        <v>72</v>
      </c>
      <c r="K278" s="90">
        <v>16</v>
      </c>
      <c r="L278" s="86"/>
      <c r="M278" s="86"/>
      <c r="N278" s="87"/>
      <c r="O278" s="86"/>
      <c r="P278" s="86"/>
      <c r="Q278" s="87"/>
    </row>
    <row r="279" spans="1:17" ht="45" customHeight="1">
      <c r="A279" s="81">
        <v>40</v>
      </c>
      <c r="B279" s="82"/>
      <c r="C279" s="101" t="s">
        <v>330</v>
      </c>
      <c r="D279" s="101" t="s">
        <v>117</v>
      </c>
      <c r="E279" s="84" t="s">
        <v>331</v>
      </c>
      <c r="F279" s="85"/>
      <c r="G279" s="85"/>
      <c r="H279" s="88"/>
      <c r="I279" s="85"/>
      <c r="J279" s="85"/>
      <c r="K279" s="88"/>
      <c r="L279" s="86"/>
      <c r="M279" s="86"/>
      <c r="N279" s="87"/>
      <c r="O279" s="86"/>
      <c r="P279" s="86"/>
      <c r="Q279" s="87"/>
    </row>
    <row r="280" spans="1:17" ht="14.45" customHeight="1">
      <c r="A280" s="81">
        <v>40</v>
      </c>
      <c r="B280" s="82"/>
      <c r="C280" s="101" t="s">
        <v>330</v>
      </c>
      <c r="D280" s="101" t="s">
        <v>117</v>
      </c>
      <c r="E280" s="84" t="s">
        <v>331</v>
      </c>
      <c r="F280" s="89">
        <v>39</v>
      </c>
      <c r="G280" s="85"/>
      <c r="H280" s="88"/>
      <c r="I280" s="89">
        <v>4</v>
      </c>
      <c r="J280" s="85"/>
      <c r="K280" s="88"/>
      <c r="L280" s="86"/>
      <c r="M280" s="86"/>
      <c r="N280" s="87"/>
      <c r="O280" s="86"/>
      <c r="P280" s="86"/>
      <c r="Q280" s="87"/>
    </row>
    <row r="281" spans="1:17" ht="24" customHeight="1">
      <c r="A281" s="91">
        <v>40</v>
      </c>
      <c r="B281" s="92"/>
      <c r="C281" s="102" t="s">
        <v>330</v>
      </c>
      <c r="D281" s="102" t="s">
        <v>117</v>
      </c>
      <c r="E281" s="94" t="s">
        <v>331</v>
      </c>
      <c r="F281" s="95" t="s">
        <v>56</v>
      </c>
      <c r="G281" s="96">
        <v>59800</v>
      </c>
      <c r="H281" s="97">
        <v>59800</v>
      </c>
      <c r="I281" s="95" t="s">
        <v>56</v>
      </c>
      <c r="J281" s="96">
        <v>82700</v>
      </c>
      <c r="K281" s="97">
        <v>82700</v>
      </c>
      <c r="L281" s="98"/>
      <c r="M281" s="98"/>
      <c r="N281" s="99"/>
      <c r="O281" s="98"/>
      <c r="P281" s="98"/>
      <c r="Q281" s="99"/>
    </row>
    <row r="282" spans="1:17" ht="14.45" customHeight="1">
      <c r="A282" s="75">
        <v>41</v>
      </c>
      <c r="B282" s="76"/>
      <c r="C282" s="100" t="s">
        <v>333</v>
      </c>
      <c r="D282" s="100" t="s">
        <v>117</v>
      </c>
      <c r="E282" s="78" t="s">
        <v>331</v>
      </c>
      <c r="F282" s="79" t="s">
        <v>50</v>
      </c>
      <c r="G282" s="79" t="s">
        <v>50</v>
      </c>
      <c r="H282" s="80" t="s">
        <v>50</v>
      </c>
      <c r="I282" s="79" t="s">
        <v>51</v>
      </c>
      <c r="J282" s="79" t="s">
        <v>51</v>
      </c>
      <c r="K282" s="80" t="s">
        <v>51</v>
      </c>
      <c r="L282" s="79"/>
      <c r="M282" s="79"/>
      <c r="N282" s="80"/>
      <c r="O282" s="79"/>
      <c r="P282" s="79"/>
      <c r="Q282" s="80"/>
    </row>
    <row r="283" spans="1:17" ht="60" customHeight="1">
      <c r="A283" s="81">
        <v>41</v>
      </c>
      <c r="B283" s="82"/>
      <c r="C283" s="101" t="s">
        <v>333</v>
      </c>
      <c r="D283" s="101" t="s">
        <v>117</v>
      </c>
      <c r="E283" s="84" t="s">
        <v>331</v>
      </c>
      <c r="F283" s="85"/>
      <c r="G283" s="86" t="s">
        <v>334</v>
      </c>
      <c r="H283" s="87" t="s">
        <v>334</v>
      </c>
      <c r="I283" s="85"/>
      <c r="J283" s="86" t="s">
        <v>334</v>
      </c>
      <c r="K283" s="87" t="s">
        <v>334</v>
      </c>
      <c r="L283" s="86"/>
      <c r="M283" s="86"/>
      <c r="N283" s="87"/>
      <c r="O283" s="86"/>
      <c r="P283" s="86"/>
      <c r="Q283" s="87"/>
    </row>
    <row r="284" spans="1:17" ht="45" customHeight="1">
      <c r="A284" s="81">
        <v>41</v>
      </c>
      <c r="B284" s="82"/>
      <c r="C284" s="101" t="s">
        <v>333</v>
      </c>
      <c r="D284" s="101" t="s">
        <v>117</v>
      </c>
      <c r="E284" s="84" t="s">
        <v>331</v>
      </c>
      <c r="F284" s="85"/>
      <c r="G284" s="85"/>
      <c r="H284" s="88"/>
      <c r="I284" s="85"/>
      <c r="J284" s="85"/>
      <c r="K284" s="88"/>
      <c r="L284" s="86"/>
      <c r="M284" s="86"/>
      <c r="N284" s="87"/>
      <c r="O284" s="86"/>
      <c r="P284" s="86"/>
      <c r="Q284" s="87"/>
    </row>
    <row r="285" spans="1:17" ht="14.45" customHeight="1">
      <c r="A285" s="81">
        <v>41</v>
      </c>
      <c r="B285" s="82"/>
      <c r="C285" s="101" t="s">
        <v>333</v>
      </c>
      <c r="D285" s="101" t="s">
        <v>117</v>
      </c>
      <c r="E285" s="84" t="s">
        <v>331</v>
      </c>
      <c r="F285" s="89">
        <v>46</v>
      </c>
      <c r="G285" s="89">
        <v>120</v>
      </c>
      <c r="H285" s="90">
        <v>76</v>
      </c>
      <c r="I285" s="89">
        <v>81</v>
      </c>
      <c r="J285" s="89">
        <v>72</v>
      </c>
      <c r="K285" s="90">
        <v>16</v>
      </c>
      <c r="L285" s="86"/>
      <c r="M285" s="86"/>
      <c r="N285" s="87"/>
      <c r="O285" s="86"/>
      <c r="P285" s="86"/>
      <c r="Q285" s="87"/>
    </row>
    <row r="286" spans="1:17" ht="45" customHeight="1">
      <c r="A286" s="81">
        <v>41</v>
      </c>
      <c r="B286" s="82"/>
      <c r="C286" s="101" t="s">
        <v>333</v>
      </c>
      <c r="D286" s="101" t="s">
        <v>117</v>
      </c>
      <c r="E286" s="84" t="s">
        <v>331</v>
      </c>
      <c r="F286" s="85"/>
      <c r="G286" s="85"/>
      <c r="H286" s="88"/>
      <c r="I286" s="85"/>
      <c r="J286" s="85"/>
      <c r="K286" s="88"/>
      <c r="L286" s="86"/>
      <c r="M286" s="86"/>
      <c r="N286" s="87"/>
      <c r="O286" s="86"/>
      <c r="P286" s="86"/>
      <c r="Q286" s="87"/>
    </row>
    <row r="287" spans="1:17" ht="14.45" customHeight="1">
      <c r="A287" s="81">
        <v>41</v>
      </c>
      <c r="B287" s="82"/>
      <c r="C287" s="101" t="s">
        <v>333</v>
      </c>
      <c r="D287" s="101" t="s">
        <v>117</v>
      </c>
      <c r="E287" s="84" t="s">
        <v>331</v>
      </c>
      <c r="F287" s="89">
        <v>39</v>
      </c>
      <c r="G287" s="85"/>
      <c r="H287" s="88"/>
      <c r="I287" s="89">
        <v>4</v>
      </c>
      <c r="J287" s="85"/>
      <c r="K287" s="88"/>
      <c r="L287" s="86"/>
      <c r="M287" s="86"/>
      <c r="N287" s="87"/>
      <c r="O287" s="86"/>
      <c r="P287" s="86"/>
      <c r="Q287" s="87"/>
    </row>
    <row r="288" spans="1:17" ht="24" customHeight="1">
      <c r="A288" s="91">
        <v>41</v>
      </c>
      <c r="B288" s="92"/>
      <c r="C288" s="102" t="s">
        <v>333</v>
      </c>
      <c r="D288" s="102" t="s">
        <v>117</v>
      </c>
      <c r="E288" s="94" t="s">
        <v>331</v>
      </c>
      <c r="F288" s="95" t="s">
        <v>56</v>
      </c>
      <c r="G288" s="96">
        <v>59800</v>
      </c>
      <c r="H288" s="97">
        <v>59800</v>
      </c>
      <c r="I288" s="95" t="s">
        <v>56</v>
      </c>
      <c r="J288" s="96">
        <v>82700</v>
      </c>
      <c r="K288" s="97">
        <v>82700</v>
      </c>
      <c r="L288" s="98"/>
      <c r="M288" s="98"/>
      <c r="N288" s="99"/>
      <c r="O288" s="98"/>
      <c r="P288" s="98"/>
      <c r="Q288" s="99"/>
    </row>
    <row r="289" spans="1:17" ht="14.45" customHeight="1">
      <c r="A289" s="75">
        <v>42</v>
      </c>
      <c r="B289" s="76"/>
      <c r="C289" s="100" t="s">
        <v>335</v>
      </c>
      <c r="D289" s="100" t="s">
        <v>117</v>
      </c>
      <c r="E289" s="78" t="s">
        <v>331</v>
      </c>
      <c r="F289" s="79" t="s">
        <v>50</v>
      </c>
      <c r="G289" s="79" t="s">
        <v>50</v>
      </c>
      <c r="H289" s="80" t="s">
        <v>50</v>
      </c>
      <c r="I289" s="79" t="s">
        <v>51</v>
      </c>
      <c r="J289" s="79" t="s">
        <v>51</v>
      </c>
      <c r="K289" s="80" t="s">
        <v>51</v>
      </c>
      <c r="L289" s="79"/>
      <c r="M289" s="79"/>
      <c r="N289" s="80"/>
      <c r="O289" s="79"/>
      <c r="P289" s="79"/>
      <c r="Q289" s="80"/>
    </row>
    <row r="290" spans="1:17" ht="60" customHeight="1">
      <c r="A290" s="81">
        <v>42</v>
      </c>
      <c r="B290" s="82"/>
      <c r="C290" s="101" t="s">
        <v>335</v>
      </c>
      <c r="D290" s="101" t="s">
        <v>117</v>
      </c>
      <c r="E290" s="84" t="s">
        <v>331</v>
      </c>
      <c r="F290" s="85"/>
      <c r="G290" s="86" t="s">
        <v>336</v>
      </c>
      <c r="H290" s="87" t="s">
        <v>336</v>
      </c>
      <c r="I290" s="85"/>
      <c r="J290" s="86" t="s">
        <v>336</v>
      </c>
      <c r="K290" s="87" t="s">
        <v>336</v>
      </c>
      <c r="L290" s="86"/>
      <c r="M290" s="86"/>
      <c r="N290" s="87"/>
      <c r="O290" s="86"/>
      <c r="P290" s="86"/>
      <c r="Q290" s="87"/>
    </row>
    <row r="291" spans="1:17" ht="45" customHeight="1">
      <c r="A291" s="81">
        <v>42</v>
      </c>
      <c r="B291" s="82"/>
      <c r="C291" s="101" t="s">
        <v>335</v>
      </c>
      <c r="D291" s="101" t="s">
        <v>117</v>
      </c>
      <c r="E291" s="84" t="s">
        <v>331</v>
      </c>
      <c r="F291" s="85"/>
      <c r="G291" s="85"/>
      <c r="H291" s="88"/>
      <c r="I291" s="85"/>
      <c r="J291" s="85"/>
      <c r="K291" s="88"/>
      <c r="L291" s="86"/>
      <c r="M291" s="86"/>
      <c r="N291" s="87"/>
      <c r="O291" s="86"/>
      <c r="P291" s="86"/>
      <c r="Q291" s="87"/>
    </row>
    <row r="292" spans="1:17" ht="14.45" customHeight="1">
      <c r="A292" s="81">
        <v>42</v>
      </c>
      <c r="B292" s="82"/>
      <c r="C292" s="101" t="s">
        <v>335</v>
      </c>
      <c r="D292" s="101" t="s">
        <v>117</v>
      </c>
      <c r="E292" s="84" t="s">
        <v>331</v>
      </c>
      <c r="F292" s="89">
        <v>46</v>
      </c>
      <c r="G292" s="89">
        <v>120</v>
      </c>
      <c r="H292" s="90">
        <v>76</v>
      </c>
      <c r="I292" s="89">
        <v>81</v>
      </c>
      <c r="J292" s="89">
        <v>72</v>
      </c>
      <c r="K292" s="90">
        <v>16</v>
      </c>
      <c r="L292" s="86"/>
      <c r="M292" s="86"/>
      <c r="N292" s="87"/>
      <c r="O292" s="86"/>
      <c r="P292" s="86"/>
      <c r="Q292" s="87"/>
    </row>
    <row r="293" spans="1:17" ht="45" customHeight="1">
      <c r="A293" s="81">
        <v>42</v>
      </c>
      <c r="B293" s="82"/>
      <c r="C293" s="101" t="s">
        <v>335</v>
      </c>
      <c r="D293" s="101" t="s">
        <v>117</v>
      </c>
      <c r="E293" s="84" t="s">
        <v>331</v>
      </c>
      <c r="F293" s="85"/>
      <c r="G293" s="85"/>
      <c r="H293" s="88"/>
      <c r="I293" s="85"/>
      <c r="J293" s="85"/>
      <c r="K293" s="88"/>
      <c r="L293" s="86"/>
      <c r="M293" s="86"/>
      <c r="N293" s="87"/>
      <c r="O293" s="86"/>
      <c r="P293" s="86"/>
      <c r="Q293" s="87"/>
    </row>
    <row r="294" spans="1:17" ht="14.45" customHeight="1">
      <c r="A294" s="81">
        <v>42</v>
      </c>
      <c r="B294" s="82"/>
      <c r="C294" s="101" t="s">
        <v>335</v>
      </c>
      <c r="D294" s="101" t="s">
        <v>117</v>
      </c>
      <c r="E294" s="84" t="s">
        <v>331</v>
      </c>
      <c r="F294" s="89">
        <v>39</v>
      </c>
      <c r="G294" s="85"/>
      <c r="H294" s="88"/>
      <c r="I294" s="89">
        <v>4</v>
      </c>
      <c r="J294" s="85"/>
      <c r="K294" s="88"/>
      <c r="L294" s="86"/>
      <c r="M294" s="86"/>
      <c r="N294" s="87"/>
      <c r="O294" s="86"/>
      <c r="P294" s="86"/>
      <c r="Q294" s="87"/>
    </row>
    <row r="295" spans="1:17" ht="24" customHeight="1">
      <c r="A295" s="91">
        <v>42</v>
      </c>
      <c r="B295" s="92"/>
      <c r="C295" s="102" t="s">
        <v>335</v>
      </c>
      <c r="D295" s="102" t="s">
        <v>117</v>
      </c>
      <c r="E295" s="94" t="s">
        <v>331</v>
      </c>
      <c r="F295" s="95" t="s">
        <v>56</v>
      </c>
      <c r="G295" s="96">
        <v>59800</v>
      </c>
      <c r="H295" s="97">
        <v>59800</v>
      </c>
      <c r="I295" s="95" t="s">
        <v>56</v>
      </c>
      <c r="J295" s="96">
        <v>82700</v>
      </c>
      <c r="K295" s="97">
        <v>82700</v>
      </c>
      <c r="L295" s="98"/>
      <c r="M295" s="98"/>
      <c r="N295" s="99"/>
      <c r="O295" s="98"/>
      <c r="P295" s="98"/>
      <c r="Q295" s="99"/>
    </row>
    <row r="296" spans="1:17" ht="14.45" customHeight="1">
      <c r="A296" s="75">
        <v>43</v>
      </c>
      <c r="B296" s="76"/>
      <c r="C296" s="100" t="s">
        <v>289</v>
      </c>
      <c r="D296" s="100" t="s">
        <v>117</v>
      </c>
      <c r="E296" s="78" t="s">
        <v>272</v>
      </c>
      <c r="F296" s="79" t="s">
        <v>50</v>
      </c>
      <c r="G296" s="79" t="s">
        <v>50</v>
      </c>
      <c r="H296" s="80" t="s">
        <v>50</v>
      </c>
      <c r="I296" s="79"/>
      <c r="J296" s="79"/>
      <c r="K296" s="80"/>
      <c r="L296" s="79"/>
      <c r="M296" s="79"/>
      <c r="N296" s="80"/>
      <c r="O296" s="79"/>
      <c r="P296" s="79"/>
      <c r="Q296" s="80"/>
    </row>
    <row r="297" spans="1:17" ht="60" customHeight="1">
      <c r="A297" s="81">
        <v>43</v>
      </c>
      <c r="B297" s="82"/>
      <c r="C297" s="101" t="s">
        <v>289</v>
      </c>
      <c r="D297" s="101" t="s">
        <v>117</v>
      </c>
      <c r="E297" s="84" t="s">
        <v>272</v>
      </c>
      <c r="F297" s="85"/>
      <c r="G297" s="86" t="s">
        <v>337</v>
      </c>
      <c r="H297" s="87" t="s">
        <v>337</v>
      </c>
      <c r="I297" s="86"/>
      <c r="J297" s="86"/>
      <c r="K297" s="87"/>
      <c r="L297" s="86"/>
      <c r="M297" s="86"/>
      <c r="N297" s="87"/>
      <c r="O297" s="86"/>
      <c r="P297" s="86"/>
      <c r="Q297" s="87"/>
    </row>
    <row r="298" spans="1:17" ht="45" customHeight="1">
      <c r="A298" s="81">
        <v>43</v>
      </c>
      <c r="B298" s="82"/>
      <c r="C298" s="101" t="s">
        <v>289</v>
      </c>
      <c r="D298" s="101" t="s">
        <v>117</v>
      </c>
      <c r="E298" s="84" t="s">
        <v>272</v>
      </c>
      <c r="F298" s="85"/>
      <c r="G298" s="85"/>
      <c r="H298" s="88"/>
      <c r="I298" s="86"/>
      <c r="J298" s="86"/>
      <c r="K298" s="87"/>
      <c r="L298" s="86"/>
      <c r="M298" s="86"/>
      <c r="N298" s="87"/>
      <c r="O298" s="86"/>
      <c r="P298" s="86"/>
      <c r="Q298" s="87"/>
    </row>
    <row r="299" spans="1:17" ht="14.45" customHeight="1">
      <c r="A299" s="81">
        <v>43</v>
      </c>
      <c r="B299" s="82"/>
      <c r="C299" s="101" t="s">
        <v>289</v>
      </c>
      <c r="D299" s="101" t="s">
        <v>117</v>
      </c>
      <c r="E299" s="84" t="s">
        <v>272</v>
      </c>
      <c r="F299" s="89">
        <v>58</v>
      </c>
      <c r="G299" s="89">
        <v>275</v>
      </c>
      <c r="H299" s="90">
        <v>20</v>
      </c>
      <c r="I299" s="86"/>
      <c r="J299" s="86"/>
      <c r="K299" s="87"/>
      <c r="L299" s="86"/>
      <c r="M299" s="86"/>
      <c r="N299" s="87"/>
      <c r="O299" s="86"/>
      <c r="P299" s="86"/>
      <c r="Q299" s="87"/>
    </row>
    <row r="300" spans="1:17" ht="45" customHeight="1">
      <c r="A300" s="81">
        <v>43</v>
      </c>
      <c r="B300" s="82"/>
      <c r="C300" s="101" t="s">
        <v>289</v>
      </c>
      <c r="D300" s="101" t="s">
        <v>117</v>
      </c>
      <c r="E300" s="84" t="s">
        <v>272</v>
      </c>
      <c r="F300" s="85"/>
      <c r="G300" s="85"/>
      <c r="H300" s="88"/>
      <c r="I300" s="86"/>
      <c r="J300" s="86"/>
      <c r="K300" s="87"/>
      <c r="L300" s="86"/>
      <c r="M300" s="86"/>
      <c r="N300" s="87"/>
      <c r="O300" s="86"/>
      <c r="P300" s="86"/>
      <c r="Q300" s="87"/>
    </row>
    <row r="301" spans="1:17" ht="14.45" customHeight="1">
      <c r="A301" s="81">
        <v>43</v>
      </c>
      <c r="B301" s="82"/>
      <c r="C301" s="101" t="s">
        <v>289</v>
      </c>
      <c r="D301" s="101" t="s">
        <v>117</v>
      </c>
      <c r="E301" s="84" t="s">
        <v>272</v>
      </c>
      <c r="F301" s="89">
        <v>94</v>
      </c>
      <c r="G301" s="85"/>
      <c r="H301" s="88"/>
      <c r="I301" s="86"/>
      <c r="J301" s="86"/>
      <c r="K301" s="87"/>
      <c r="L301" s="86"/>
      <c r="M301" s="86"/>
      <c r="N301" s="87"/>
      <c r="O301" s="86"/>
      <c r="P301" s="86"/>
      <c r="Q301" s="87"/>
    </row>
    <row r="302" spans="1:17" ht="24" customHeight="1">
      <c r="A302" s="91">
        <v>43</v>
      </c>
      <c r="B302" s="92"/>
      <c r="C302" s="102" t="s">
        <v>289</v>
      </c>
      <c r="D302" s="102" t="s">
        <v>117</v>
      </c>
      <c r="E302" s="94" t="s">
        <v>272</v>
      </c>
      <c r="F302" s="95" t="s">
        <v>56</v>
      </c>
      <c r="G302" s="96">
        <v>56500</v>
      </c>
      <c r="H302" s="97">
        <v>56500</v>
      </c>
      <c r="I302" s="98"/>
      <c r="J302" s="98"/>
      <c r="K302" s="99"/>
      <c r="L302" s="98"/>
      <c r="M302" s="98"/>
      <c r="N302" s="99"/>
      <c r="O302" s="98"/>
      <c r="P302" s="98"/>
      <c r="Q302" s="99"/>
    </row>
    <row r="303" spans="1:17" ht="14.45" customHeight="1">
      <c r="A303" s="75">
        <v>44</v>
      </c>
      <c r="B303" s="76"/>
      <c r="C303" s="100" t="s">
        <v>290</v>
      </c>
      <c r="D303" s="100" t="s">
        <v>117</v>
      </c>
      <c r="E303" s="78" t="s">
        <v>272</v>
      </c>
      <c r="F303" s="79" t="s">
        <v>50</v>
      </c>
      <c r="G303" s="79" t="s">
        <v>50</v>
      </c>
      <c r="H303" s="80" t="s">
        <v>50</v>
      </c>
      <c r="I303" s="79"/>
      <c r="J303" s="79"/>
      <c r="K303" s="80"/>
      <c r="L303" s="79"/>
      <c r="M303" s="79"/>
      <c r="N303" s="80"/>
      <c r="O303" s="79"/>
      <c r="P303" s="79"/>
      <c r="Q303" s="80"/>
    </row>
    <row r="304" spans="1:17" ht="60" customHeight="1">
      <c r="A304" s="81">
        <v>44</v>
      </c>
      <c r="B304" s="82"/>
      <c r="C304" s="101" t="s">
        <v>290</v>
      </c>
      <c r="D304" s="101" t="s">
        <v>117</v>
      </c>
      <c r="E304" s="84" t="s">
        <v>272</v>
      </c>
      <c r="F304" s="85"/>
      <c r="G304" s="86" t="s">
        <v>338</v>
      </c>
      <c r="H304" s="87" t="s">
        <v>338</v>
      </c>
      <c r="I304" s="86"/>
      <c r="J304" s="86"/>
      <c r="K304" s="87"/>
      <c r="L304" s="86"/>
      <c r="M304" s="86"/>
      <c r="N304" s="87"/>
      <c r="O304" s="86"/>
      <c r="P304" s="86"/>
      <c r="Q304" s="87"/>
    </row>
    <row r="305" spans="1:17" ht="45" customHeight="1">
      <c r="A305" s="81">
        <v>44</v>
      </c>
      <c r="B305" s="82"/>
      <c r="C305" s="101" t="s">
        <v>290</v>
      </c>
      <c r="D305" s="101" t="s">
        <v>117</v>
      </c>
      <c r="E305" s="84" t="s">
        <v>272</v>
      </c>
      <c r="F305" s="85"/>
      <c r="G305" s="85"/>
      <c r="H305" s="88"/>
      <c r="I305" s="86"/>
      <c r="J305" s="86"/>
      <c r="K305" s="87"/>
      <c r="L305" s="86"/>
      <c r="M305" s="86"/>
      <c r="N305" s="87"/>
      <c r="O305" s="86"/>
      <c r="P305" s="86"/>
      <c r="Q305" s="87"/>
    </row>
    <row r="306" spans="1:17" ht="14.45" customHeight="1">
      <c r="A306" s="81">
        <v>44</v>
      </c>
      <c r="B306" s="82"/>
      <c r="C306" s="101" t="s">
        <v>290</v>
      </c>
      <c r="D306" s="101" t="s">
        <v>117</v>
      </c>
      <c r="E306" s="84" t="s">
        <v>272</v>
      </c>
      <c r="F306" s="89">
        <v>58</v>
      </c>
      <c r="G306" s="89">
        <v>275</v>
      </c>
      <c r="H306" s="90">
        <v>20</v>
      </c>
      <c r="I306" s="86"/>
      <c r="J306" s="86"/>
      <c r="K306" s="87"/>
      <c r="L306" s="86"/>
      <c r="M306" s="86"/>
      <c r="N306" s="87"/>
      <c r="O306" s="86"/>
      <c r="P306" s="86"/>
      <c r="Q306" s="87"/>
    </row>
    <row r="307" spans="1:17" ht="45" customHeight="1">
      <c r="A307" s="81">
        <v>44</v>
      </c>
      <c r="B307" s="82"/>
      <c r="C307" s="101" t="s">
        <v>290</v>
      </c>
      <c r="D307" s="101" t="s">
        <v>117</v>
      </c>
      <c r="E307" s="84" t="s">
        <v>272</v>
      </c>
      <c r="F307" s="85"/>
      <c r="G307" s="85"/>
      <c r="H307" s="88"/>
      <c r="I307" s="86"/>
      <c r="J307" s="86"/>
      <c r="K307" s="87"/>
      <c r="L307" s="86"/>
      <c r="M307" s="86"/>
      <c r="N307" s="87"/>
      <c r="O307" s="86"/>
      <c r="P307" s="86"/>
      <c r="Q307" s="87"/>
    </row>
    <row r="308" spans="1:17" ht="14.45" customHeight="1">
      <c r="A308" s="81">
        <v>44</v>
      </c>
      <c r="B308" s="82"/>
      <c r="C308" s="101" t="s">
        <v>290</v>
      </c>
      <c r="D308" s="101" t="s">
        <v>117</v>
      </c>
      <c r="E308" s="84" t="s">
        <v>272</v>
      </c>
      <c r="F308" s="89">
        <v>94</v>
      </c>
      <c r="G308" s="85"/>
      <c r="H308" s="88"/>
      <c r="I308" s="86"/>
      <c r="J308" s="86"/>
      <c r="K308" s="87"/>
      <c r="L308" s="86"/>
      <c r="M308" s="86"/>
      <c r="N308" s="87"/>
      <c r="O308" s="86"/>
      <c r="P308" s="86"/>
      <c r="Q308" s="87"/>
    </row>
    <row r="309" spans="1:17" ht="24" customHeight="1">
      <c r="A309" s="91">
        <v>44</v>
      </c>
      <c r="B309" s="92"/>
      <c r="C309" s="102" t="s">
        <v>290</v>
      </c>
      <c r="D309" s="102" t="s">
        <v>117</v>
      </c>
      <c r="E309" s="94" t="s">
        <v>272</v>
      </c>
      <c r="F309" s="95" t="s">
        <v>56</v>
      </c>
      <c r="G309" s="96">
        <v>56500</v>
      </c>
      <c r="H309" s="97">
        <v>56500</v>
      </c>
      <c r="I309" s="98"/>
      <c r="J309" s="98"/>
      <c r="K309" s="99"/>
      <c r="L309" s="98"/>
      <c r="M309" s="98"/>
      <c r="N309" s="99"/>
      <c r="O309" s="98"/>
      <c r="P309" s="98"/>
      <c r="Q309" s="99"/>
    </row>
    <row r="310" spans="1:17" ht="14.45" customHeight="1">
      <c r="A310" s="75">
        <v>45</v>
      </c>
      <c r="B310" s="76"/>
      <c r="C310" s="100" t="s">
        <v>297</v>
      </c>
      <c r="D310" s="100" t="s">
        <v>117</v>
      </c>
      <c r="E310" s="78" t="s">
        <v>272</v>
      </c>
      <c r="F310" s="79" t="s">
        <v>50</v>
      </c>
      <c r="G310" s="79" t="s">
        <v>50</v>
      </c>
      <c r="H310" s="80" t="s">
        <v>50</v>
      </c>
      <c r="I310" s="79"/>
      <c r="J310" s="79"/>
      <c r="K310" s="80"/>
      <c r="L310" s="79"/>
      <c r="M310" s="79"/>
      <c r="N310" s="80"/>
      <c r="O310" s="79"/>
      <c r="P310" s="79"/>
      <c r="Q310" s="80"/>
    </row>
    <row r="311" spans="1:17" ht="60" customHeight="1">
      <c r="A311" s="81">
        <v>45</v>
      </c>
      <c r="B311" s="82"/>
      <c r="C311" s="101" t="s">
        <v>297</v>
      </c>
      <c r="D311" s="101" t="s">
        <v>117</v>
      </c>
      <c r="E311" s="84" t="s">
        <v>272</v>
      </c>
      <c r="F311" s="85"/>
      <c r="G311" s="86" t="s">
        <v>338</v>
      </c>
      <c r="H311" s="87" t="s">
        <v>338</v>
      </c>
      <c r="I311" s="86"/>
      <c r="J311" s="86"/>
      <c r="K311" s="87"/>
      <c r="L311" s="86"/>
      <c r="M311" s="86"/>
      <c r="N311" s="87"/>
      <c r="O311" s="86"/>
      <c r="P311" s="86"/>
      <c r="Q311" s="87"/>
    </row>
    <row r="312" spans="1:17" ht="45" customHeight="1">
      <c r="A312" s="81">
        <v>45</v>
      </c>
      <c r="B312" s="82"/>
      <c r="C312" s="101" t="s">
        <v>297</v>
      </c>
      <c r="D312" s="101" t="s">
        <v>117</v>
      </c>
      <c r="E312" s="84" t="s">
        <v>272</v>
      </c>
      <c r="F312" s="85"/>
      <c r="G312" s="85"/>
      <c r="H312" s="88"/>
      <c r="I312" s="86"/>
      <c r="J312" s="86"/>
      <c r="K312" s="87"/>
      <c r="L312" s="86"/>
      <c r="M312" s="86"/>
      <c r="N312" s="87"/>
      <c r="O312" s="86"/>
      <c r="P312" s="86"/>
      <c r="Q312" s="87"/>
    </row>
    <row r="313" spans="1:17" ht="14.45" customHeight="1">
      <c r="A313" s="81">
        <v>45</v>
      </c>
      <c r="B313" s="82"/>
      <c r="C313" s="101" t="s">
        <v>297</v>
      </c>
      <c r="D313" s="101" t="s">
        <v>117</v>
      </c>
      <c r="E313" s="84" t="s">
        <v>272</v>
      </c>
      <c r="F313" s="89">
        <v>58</v>
      </c>
      <c r="G313" s="89">
        <v>275</v>
      </c>
      <c r="H313" s="90">
        <v>20</v>
      </c>
      <c r="I313" s="86"/>
      <c r="J313" s="86"/>
      <c r="K313" s="87"/>
      <c r="L313" s="86"/>
      <c r="M313" s="86"/>
      <c r="N313" s="87"/>
      <c r="O313" s="86"/>
      <c r="P313" s="86"/>
      <c r="Q313" s="87"/>
    </row>
    <row r="314" spans="1:17" ht="45" customHeight="1">
      <c r="A314" s="81">
        <v>45</v>
      </c>
      <c r="B314" s="82"/>
      <c r="C314" s="101" t="s">
        <v>297</v>
      </c>
      <c r="D314" s="101" t="s">
        <v>117</v>
      </c>
      <c r="E314" s="84" t="s">
        <v>272</v>
      </c>
      <c r="F314" s="85"/>
      <c r="G314" s="85"/>
      <c r="H314" s="88"/>
      <c r="I314" s="86"/>
      <c r="J314" s="86"/>
      <c r="K314" s="87"/>
      <c r="L314" s="86"/>
      <c r="M314" s="86"/>
      <c r="N314" s="87"/>
      <c r="O314" s="86"/>
      <c r="P314" s="86"/>
      <c r="Q314" s="87"/>
    </row>
    <row r="315" spans="1:17" ht="14.45" customHeight="1">
      <c r="A315" s="81">
        <v>45</v>
      </c>
      <c r="B315" s="82"/>
      <c r="C315" s="101" t="s">
        <v>297</v>
      </c>
      <c r="D315" s="101" t="s">
        <v>117</v>
      </c>
      <c r="E315" s="84" t="s">
        <v>272</v>
      </c>
      <c r="F315" s="89">
        <v>94</v>
      </c>
      <c r="G315" s="85"/>
      <c r="H315" s="88"/>
      <c r="I315" s="86"/>
      <c r="J315" s="86"/>
      <c r="K315" s="87"/>
      <c r="L315" s="86"/>
      <c r="M315" s="86"/>
      <c r="N315" s="87"/>
      <c r="O315" s="86"/>
      <c r="P315" s="86"/>
      <c r="Q315" s="87"/>
    </row>
    <row r="316" spans="1:17" ht="24" customHeight="1">
      <c r="A316" s="91">
        <v>45</v>
      </c>
      <c r="B316" s="92"/>
      <c r="C316" s="102" t="s">
        <v>297</v>
      </c>
      <c r="D316" s="102" t="s">
        <v>117</v>
      </c>
      <c r="E316" s="94" t="s">
        <v>272</v>
      </c>
      <c r="F316" s="95" t="s">
        <v>56</v>
      </c>
      <c r="G316" s="96">
        <v>56500</v>
      </c>
      <c r="H316" s="97">
        <v>56500</v>
      </c>
      <c r="I316" s="98"/>
      <c r="J316" s="98"/>
      <c r="K316" s="99"/>
      <c r="L316" s="98"/>
      <c r="M316" s="98"/>
      <c r="N316" s="99"/>
      <c r="O316" s="98"/>
      <c r="P316" s="98"/>
      <c r="Q316" s="99"/>
    </row>
    <row r="317" spans="1:17" ht="14.45" customHeight="1">
      <c r="A317" s="75">
        <v>46</v>
      </c>
      <c r="B317" s="76"/>
      <c r="C317" s="100" t="s">
        <v>276</v>
      </c>
      <c r="D317" s="100" t="s">
        <v>117</v>
      </c>
      <c r="E317" s="78" t="s">
        <v>272</v>
      </c>
      <c r="F317" s="79" t="s">
        <v>50</v>
      </c>
      <c r="G317" s="79" t="s">
        <v>50</v>
      </c>
      <c r="H317" s="80" t="s">
        <v>50</v>
      </c>
      <c r="I317" s="79"/>
      <c r="J317" s="79"/>
      <c r="K317" s="80"/>
      <c r="L317" s="79"/>
      <c r="M317" s="79"/>
      <c r="N317" s="80"/>
      <c r="O317" s="79"/>
      <c r="P317" s="79"/>
      <c r="Q317" s="80"/>
    </row>
    <row r="318" spans="1:17" ht="60" customHeight="1">
      <c r="A318" s="81">
        <v>46</v>
      </c>
      <c r="B318" s="82"/>
      <c r="C318" s="101" t="s">
        <v>276</v>
      </c>
      <c r="D318" s="101" t="s">
        <v>117</v>
      </c>
      <c r="E318" s="84" t="s">
        <v>272</v>
      </c>
      <c r="F318" s="85"/>
      <c r="G318" s="86" t="s">
        <v>339</v>
      </c>
      <c r="H318" s="87" t="s">
        <v>339</v>
      </c>
      <c r="I318" s="86"/>
      <c r="J318" s="86"/>
      <c r="K318" s="87"/>
      <c r="L318" s="86"/>
      <c r="M318" s="86"/>
      <c r="N318" s="87"/>
      <c r="O318" s="86"/>
      <c r="P318" s="86"/>
      <c r="Q318" s="87"/>
    </row>
    <row r="319" spans="1:17" ht="45" customHeight="1">
      <c r="A319" s="81">
        <v>46</v>
      </c>
      <c r="B319" s="82"/>
      <c r="C319" s="101" t="s">
        <v>276</v>
      </c>
      <c r="D319" s="101" t="s">
        <v>117</v>
      </c>
      <c r="E319" s="84" t="s">
        <v>272</v>
      </c>
      <c r="F319" s="85"/>
      <c r="G319" s="85"/>
      <c r="H319" s="88"/>
      <c r="I319" s="86"/>
      <c r="J319" s="86"/>
      <c r="K319" s="87"/>
      <c r="L319" s="86"/>
      <c r="M319" s="86"/>
      <c r="N319" s="87"/>
      <c r="O319" s="86"/>
      <c r="P319" s="86"/>
      <c r="Q319" s="87"/>
    </row>
    <row r="320" spans="1:17" ht="14.45" customHeight="1">
      <c r="A320" s="81">
        <v>46</v>
      </c>
      <c r="B320" s="82"/>
      <c r="C320" s="101" t="s">
        <v>276</v>
      </c>
      <c r="D320" s="101" t="s">
        <v>117</v>
      </c>
      <c r="E320" s="84" t="s">
        <v>272</v>
      </c>
      <c r="F320" s="89">
        <v>58</v>
      </c>
      <c r="G320" s="89">
        <v>275</v>
      </c>
      <c r="H320" s="90">
        <v>20</v>
      </c>
      <c r="I320" s="86"/>
      <c r="J320" s="86"/>
      <c r="K320" s="87"/>
      <c r="L320" s="86"/>
      <c r="M320" s="86"/>
      <c r="N320" s="87"/>
      <c r="O320" s="86"/>
      <c r="P320" s="86"/>
      <c r="Q320" s="87"/>
    </row>
    <row r="321" spans="1:17" ht="45" customHeight="1">
      <c r="A321" s="81">
        <v>46</v>
      </c>
      <c r="B321" s="82"/>
      <c r="C321" s="101" t="s">
        <v>276</v>
      </c>
      <c r="D321" s="101" t="s">
        <v>117</v>
      </c>
      <c r="E321" s="84" t="s">
        <v>272</v>
      </c>
      <c r="F321" s="85"/>
      <c r="G321" s="85"/>
      <c r="H321" s="88"/>
      <c r="I321" s="86"/>
      <c r="J321" s="86"/>
      <c r="K321" s="87"/>
      <c r="L321" s="86"/>
      <c r="M321" s="86"/>
      <c r="N321" s="87"/>
      <c r="O321" s="86"/>
      <c r="P321" s="86"/>
      <c r="Q321" s="87"/>
    </row>
    <row r="322" spans="1:17" ht="14.45" customHeight="1">
      <c r="A322" s="81">
        <v>46</v>
      </c>
      <c r="B322" s="82"/>
      <c r="C322" s="101" t="s">
        <v>276</v>
      </c>
      <c r="D322" s="101" t="s">
        <v>117</v>
      </c>
      <c r="E322" s="84" t="s">
        <v>272</v>
      </c>
      <c r="F322" s="89">
        <v>94</v>
      </c>
      <c r="G322" s="85"/>
      <c r="H322" s="88"/>
      <c r="I322" s="86"/>
      <c r="J322" s="86"/>
      <c r="K322" s="87"/>
      <c r="L322" s="86"/>
      <c r="M322" s="86"/>
      <c r="N322" s="87"/>
      <c r="O322" s="86"/>
      <c r="P322" s="86"/>
      <c r="Q322" s="87"/>
    </row>
    <row r="323" spans="1:17" ht="24" customHeight="1">
      <c r="A323" s="91">
        <v>46</v>
      </c>
      <c r="B323" s="92"/>
      <c r="C323" s="102" t="s">
        <v>276</v>
      </c>
      <c r="D323" s="102" t="s">
        <v>117</v>
      </c>
      <c r="E323" s="94" t="s">
        <v>272</v>
      </c>
      <c r="F323" s="95" t="s">
        <v>56</v>
      </c>
      <c r="G323" s="96">
        <v>56500</v>
      </c>
      <c r="H323" s="97">
        <v>56500</v>
      </c>
      <c r="I323" s="98"/>
      <c r="J323" s="98"/>
      <c r="K323" s="99"/>
      <c r="L323" s="98"/>
      <c r="M323" s="98"/>
      <c r="N323" s="99"/>
      <c r="O323" s="98"/>
      <c r="P323" s="98"/>
      <c r="Q323" s="99"/>
    </row>
    <row r="324" spans="1:17" ht="14.45" customHeight="1">
      <c r="A324" s="75">
        <v>47</v>
      </c>
      <c r="B324" s="76"/>
      <c r="C324" s="100" t="s">
        <v>291</v>
      </c>
      <c r="D324" s="100" t="s">
        <v>117</v>
      </c>
      <c r="E324" s="78" t="s">
        <v>272</v>
      </c>
      <c r="F324" s="79" t="s">
        <v>50</v>
      </c>
      <c r="G324" s="79" t="s">
        <v>50</v>
      </c>
      <c r="H324" s="80" t="s">
        <v>50</v>
      </c>
      <c r="I324" s="79"/>
      <c r="J324" s="79"/>
      <c r="K324" s="80"/>
      <c r="L324" s="79"/>
      <c r="M324" s="79"/>
      <c r="N324" s="80"/>
      <c r="O324" s="79"/>
      <c r="P324" s="79"/>
      <c r="Q324" s="80"/>
    </row>
    <row r="325" spans="1:17" ht="60" customHeight="1">
      <c r="A325" s="81">
        <v>47</v>
      </c>
      <c r="B325" s="82"/>
      <c r="C325" s="101" t="s">
        <v>291</v>
      </c>
      <c r="D325" s="101" t="s">
        <v>117</v>
      </c>
      <c r="E325" s="84" t="s">
        <v>272</v>
      </c>
      <c r="F325" s="85"/>
      <c r="G325" s="86" t="s">
        <v>338</v>
      </c>
      <c r="H325" s="87" t="s">
        <v>338</v>
      </c>
      <c r="I325" s="86"/>
      <c r="J325" s="86"/>
      <c r="K325" s="87"/>
      <c r="L325" s="86"/>
      <c r="M325" s="86"/>
      <c r="N325" s="87"/>
      <c r="O325" s="86"/>
      <c r="P325" s="86"/>
      <c r="Q325" s="87"/>
    </row>
    <row r="326" spans="1:17" ht="45" customHeight="1">
      <c r="A326" s="81">
        <v>47</v>
      </c>
      <c r="B326" s="82"/>
      <c r="C326" s="101" t="s">
        <v>291</v>
      </c>
      <c r="D326" s="101" t="s">
        <v>117</v>
      </c>
      <c r="E326" s="84" t="s">
        <v>272</v>
      </c>
      <c r="F326" s="85"/>
      <c r="G326" s="85"/>
      <c r="H326" s="88"/>
      <c r="I326" s="86"/>
      <c r="J326" s="86"/>
      <c r="K326" s="87"/>
      <c r="L326" s="86"/>
      <c r="M326" s="86"/>
      <c r="N326" s="87"/>
      <c r="O326" s="86"/>
      <c r="P326" s="86"/>
      <c r="Q326" s="87"/>
    </row>
    <row r="327" spans="1:17" ht="14.45" customHeight="1">
      <c r="A327" s="81">
        <v>47</v>
      </c>
      <c r="B327" s="82"/>
      <c r="C327" s="101" t="s">
        <v>291</v>
      </c>
      <c r="D327" s="101" t="s">
        <v>117</v>
      </c>
      <c r="E327" s="84" t="s">
        <v>272</v>
      </c>
      <c r="F327" s="89">
        <v>58</v>
      </c>
      <c r="G327" s="89">
        <v>275</v>
      </c>
      <c r="H327" s="90">
        <v>20</v>
      </c>
      <c r="I327" s="86"/>
      <c r="J327" s="86"/>
      <c r="K327" s="87"/>
      <c r="L327" s="86"/>
      <c r="M327" s="86"/>
      <c r="N327" s="87"/>
      <c r="O327" s="86"/>
      <c r="P327" s="86"/>
      <c r="Q327" s="87"/>
    </row>
    <row r="328" spans="1:17" ht="45" customHeight="1">
      <c r="A328" s="81">
        <v>47</v>
      </c>
      <c r="B328" s="82"/>
      <c r="C328" s="101" t="s">
        <v>291</v>
      </c>
      <c r="D328" s="101" t="s">
        <v>117</v>
      </c>
      <c r="E328" s="84" t="s">
        <v>272</v>
      </c>
      <c r="F328" s="85"/>
      <c r="G328" s="85"/>
      <c r="H328" s="88"/>
      <c r="I328" s="86"/>
      <c r="J328" s="86"/>
      <c r="K328" s="87"/>
      <c r="L328" s="86"/>
      <c r="M328" s="86"/>
      <c r="N328" s="87"/>
      <c r="O328" s="86"/>
      <c r="P328" s="86"/>
      <c r="Q328" s="87"/>
    </row>
    <row r="329" spans="1:17" ht="14.45" customHeight="1">
      <c r="A329" s="81">
        <v>47</v>
      </c>
      <c r="B329" s="82"/>
      <c r="C329" s="101" t="s">
        <v>291</v>
      </c>
      <c r="D329" s="101" t="s">
        <v>117</v>
      </c>
      <c r="E329" s="84" t="s">
        <v>272</v>
      </c>
      <c r="F329" s="89">
        <v>94</v>
      </c>
      <c r="G329" s="85"/>
      <c r="H329" s="88"/>
      <c r="I329" s="86"/>
      <c r="J329" s="86"/>
      <c r="K329" s="87"/>
      <c r="L329" s="86"/>
      <c r="M329" s="86"/>
      <c r="N329" s="87"/>
      <c r="O329" s="86"/>
      <c r="P329" s="86"/>
      <c r="Q329" s="87"/>
    </row>
    <row r="330" spans="1:17" ht="24" customHeight="1">
      <c r="A330" s="91">
        <v>47</v>
      </c>
      <c r="B330" s="92"/>
      <c r="C330" s="102" t="s">
        <v>291</v>
      </c>
      <c r="D330" s="102" t="s">
        <v>117</v>
      </c>
      <c r="E330" s="94" t="s">
        <v>272</v>
      </c>
      <c r="F330" s="95" t="s">
        <v>56</v>
      </c>
      <c r="G330" s="96">
        <v>56500</v>
      </c>
      <c r="H330" s="97">
        <v>56500</v>
      </c>
      <c r="I330" s="98"/>
      <c r="J330" s="98"/>
      <c r="K330" s="99"/>
      <c r="L330" s="98"/>
      <c r="M330" s="98"/>
      <c r="N330" s="99"/>
      <c r="O330" s="98"/>
      <c r="P330" s="98"/>
      <c r="Q330" s="99"/>
    </row>
    <row r="331" spans="1:17" ht="14.45" customHeight="1">
      <c r="A331" s="75">
        <v>48</v>
      </c>
      <c r="B331" s="76"/>
      <c r="C331" s="100" t="s">
        <v>340</v>
      </c>
      <c r="D331" s="100" t="s">
        <v>117</v>
      </c>
      <c r="E331" s="78" t="s">
        <v>341</v>
      </c>
      <c r="F331" s="79" t="s">
        <v>50</v>
      </c>
      <c r="G331" s="79" t="s">
        <v>50</v>
      </c>
      <c r="H331" s="80" t="s">
        <v>50</v>
      </c>
      <c r="I331" s="79"/>
      <c r="J331" s="79"/>
      <c r="K331" s="80"/>
      <c r="L331" s="79"/>
      <c r="M331" s="79"/>
      <c r="N331" s="80"/>
      <c r="O331" s="79"/>
      <c r="P331" s="79"/>
      <c r="Q331" s="80"/>
    </row>
    <row r="332" spans="1:17" ht="60" customHeight="1">
      <c r="A332" s="81">
        <v>48</v>
      </c>
      <c r="B332" s="82"/>
      <c r="C332" s="101" t="s">
        <v>340</v>
      </c>
      <c r="D332" s="101" t="s">
        <v>117</v>
      </c>
      <c r="E332" s="84" t="s">
        <v>341</v>
      </c>
      <c r="F332" s="85"/>
      <c r="G332" s="86"/>
      <c r="H332" s="87"/>
      <c r="I332" s="86"/>
      <c r="J332" s="86"/>
      <c r="K332" s="87"/>
      <c r="L332" s="86"/>
      <c r="M332" s="86"/>
      <c r="N332" s="87"/>
      <c r="O332" s="86"/>
      <c r="P332" s="86"/>
      <c r="Q332" s="87"/>
    </row>
    <row r="333" spans="1:17" ht="45" customHeight="1">
      <c r="A333" s="81">
        <v>48</v>
      </c>
      <c r="B333" s="82"/>
      <c r="C333" s="101" t="s">
        <v>340</v>
      </c>
      <c r="D333" s="101" t="s">
        <v>117</v>
      </c>
      <c r="E333" s="84" t="s">
        <v>341</v>
      </c>
      <c r="F333" s="85"/>
      <c r="G333" s="85"/>
      <c r="H333" s="88"/>
      <c r="I333" s="86"/>
      <c r="J333" s="86"/>
      <c r="K333" s="87"/>
      <c r="L333" s="86"/>
      <c r="M333" s="86"/>
      <c r="N333" s="87"/>
      <c r="O333" s="86"/>
      <c r="P333" s="86"/>
      <c r="Q333" s="87"/>
    </row>
    <row r="334" spans="1:17" ht="14.45" customHeight="1">
      <c r="A334" s="81">
        <v>48</v>
      </c>
      <c r="B334" s="82"/>
      <c r="C334" s="101" t="s">
        <v>340</v>
      </c>
      <c r="D334" s="101" t="s">
        <v>117</v>
      </c>
      <c r="E334" s="84" t="s">
        <v>341</v>
      </c>
      <c r="F334" s="89">
        <v>49</v>
      </c>
      <c r="G334" s="89">
        <v>118</v>
      </c>
      <c r="H334" s="90">
        <v>17</v>
      </c>
      <c r="I334" s="86"/>
      <c r="J334" s="86"/>
      <c r="K334" s="87"/>
      <c r="L334" s="86"/>
      <c r="M334" s="86"/>
      <c r="N334" s="87"/>
      <c r="O334" s="86"/>
      <c r="P334" s="86"/>
      <c r="Q334" s="87"/>
    </row>
    <row r="335" spans="1:17" ht="45" customHeight="1">
      <c r="A335" s="81">
        <v>48</v>
      </c>
      <c r="B335" s="82"/>
      <c r="C335" s="101" t="s">
        <v>340</v>
      </c>
      <c r="D335" s="101" t="s">
        <v>117</v>
      </c>
      <c r="E335" s="84" t="s">
        <v>341</v>
      </c>
      <c r="F335" s="85"/>
      <c r="G335" s="85"/>
      <c r="H335" s="88"/>
      <c r="I335" s="86"/>
      <c r="J335" s="86"/>
      <c r="K335" s="87"/>
      <c r="L335" s="86"/>
      <c r="M335" s="86"/>
      <c r="N335" s="87"/>
      <c r="O335" s="86"/>
      <c r="P335" s="86"/>
      <c r="Q335" s="87"/>
    </row>
    <row r="336" spans="1:17" ht="14.45" customHeight="1">
      <c r="A336" s="81">
        <v>48</v>
      </c>
      <c r="B336" s="82"/>
      <c r="C336" s="101" t="s">
        <v>340</v>
      </c>
      <c r="D336" s="101" t="s">
        <v>117</v>
      </c>
      <c r="E336" s="84" t="s">
        <v>341</v>
      </c>
      <c r="F336" s="89">
        <v>124</v>
      </c>
      <c r="G336" s="85"/>
      <c r="H336" s="88"/>
      <c r="I336" s="86"/>
      <c r="J336" s="86"/>
      <c r="K336" s="87"/>
      <c r="L336" s="86"/>
      <c r="M336" s="86"/>
      <c r="N336" s="87"/>
      <c r="O336" s="86"/>
      <c r="P336" s="86"/>
      <c r="Q336" s="87"/>
    </row>
    <row r="337" spans="1:17" ht="24" customHeight="1">
      <c r="A337" s="91">
        <v>48</v>
      </c>
      <c r="B337" s="92"/>
      <c r="C337" s="102" t="s">
        <v>340</v>
      </c>
      <c r="D337" s="102" t="s">
        <v>117</v>
      </c>
      <c r="E337" s="94" t="s">
        <v>341</v>
      </c>
      <c r="F337" s="95" t="s">
        <v>56</v>
      </c>
      <c r="G337" s="96">
        <v>39300</v>
      </c>
      <c r="H337" s="97">
        <v>39300</v>
      </c>
      <c r="I337" s="98"/>
      <c r="J337" s="98"/>
      <c r="K337" s="99"/>
      <c r="L337" s="98"/>
      <c r="M337" s="98"/>
      <c r="N337" s="99"/>
      <c r="O337" s="98"/>
      <c r="P337" s="98"/>
      <c r="Q337" s="99"/>
    </row>
    <row r="338" spans="1:17" ht="14.45" customHeight="1">
      <c r="A338" s="75">
        <v>49</v>
      </c>
      <c r="B338" s="76"/>
      <c r="C338" s="103" t="s">
        <v>299</v>
      </c>
      <c r="D338" s="103" t="s">
        <v>165</v>
      </c>
      <c r="E338" s="78" t="s">
        <v>267</v>
      </c>
      <c r="F338" s="79" t="s">
        <v>50</v>
      </c>
      <c r="G338" s="79" t="s">
        <v>50</v>
      </c>
      <c r="H338" s="80" t="s">
        <v>50</v>
      </c>
      <c r="I338" s="79"/>
      <c r="J338" s="79"/>
      <c r="K338" s="80"/>
      <c r="L338" s="79"/>
      <c r="M338" s="79"/>
      <c r="N338" s="80"/>
      <c r="O338" s="79"/>
      <c r="P338" s="79"/>
      <c r="Q338" s="80"/>
    </row>
    <row r="339" spans="1:17" ht="60" customHeight="1">
      <c r="A339" s="81">
        <v>49</v>
      </c>
      <c r="B339" s="82"/>
      <c r="C339" s="104" t="s">
        <v>299</v>
      </c>
      <c r="D339" s="104" t="s">
        <v>165</v>
      </c>
      <c r="E339" s="84" t="s">
        <v>267</v>
      </c>
      <c r="F339" s="85"/>
      <c r="G339" s="86"/>
      <c r="H339" s="87"/>
      <c r="I339" s="86"/>
      <c r="J339" s="86"/>
      <c r="K339" s="87"/>
      <c r="L339" s="86"/>
      <c r="M339" s="86"/>
      <c r="N339" s="87"/>
      <c r="O339" s="86"/>
      <c r="P339" s="86"/>
      <c r="Q339" s="87"/>
    </row>
    <row r="340" spans="1:17" ht="45" customHeight="1">
      <c r="A340" s="81">
        <v>49</v>
      </c>
      <c r="B340" s="82"/>
      <c r="C340" s="104" t="s">
        <v>299</v>
      </c>
      <c r="D340" s="104" t="s">
        <v>165</v>
      </c>
      <c r="E340" s="84" t="s">
        <v>267</v>
      </c>
      <c r="F340" s="85"/>
      <c r="G340" s="85"/>
      <c r="H340" s="88"/>
      <c r="I340" s="86"/>
      <c r="J340" s="86"/>
      <c r="K340" s="87"/>
      <c r="L340" s="86"/>
      <c r="M340" s="86"/>
      <c r="N340" s="87"/>
      <c r="O340" s="86"/>
      <c r="P340" s="86"/>
      <c r="Q340" s="87"/>
    </row>
    <row r="341" spans="1:17" ht="14.45" customHeight="1">
      <c r="A341" s="81">
        <v>49</v>
      </c>
      <c r="B341" s="82"/>
      <c r="C341" s="104" t="s">
        <v>299</v>
      </c>
      <c r="D341" s="104" t="s">
        <v>165</v>
      </c>
      <c r="E341" s="84" t="s">
        <v>267</v>
      </c>
      <c r="F341" s="89">
        <v>152</v>
      </c>
      <c r="G341" s="89">
        <v>26</v>
      </c>
      <c r="H341" s="90">
        <v>123</v>
      </c>
      <c r="I341" s="86"/>
      <c r="J341" s="86"/>
      <c r="K341" s="87"/>
      <c r="L341" s="86"/>
      <c r="M341" s="86"/>
      <c r="N341" s="87"/>
      <c r="O341" s="86"/>
      <c r="P341" s="86"/>
      <c r="Q341" s="87"/>
    </row>
    <row r="342" spans="1:17" ht="45" customHeight="1">
      <c r="A342" s="81">
        <v>49</v>
      </c>
      <c r="B342" s="82"/>
      <c r="C342" s="104" t="s">
        <v>299</v>
      </c>
      <c r="D342" s="104" t="s">
        <v>165</v>
      </c>
      <c r="E342" s="84" t="s">
        <v>267</v>
      </c>
      <c r="F342" s="85"/>
      <c r="G342" s="85"/>
      <c r="H342" s="88"/>
      <c r="I342" s="86"/>
      <c r="J342" s="86"/>
      <c r="K342" s="87"/>
      <c r="L342" s="86"/>
      <c r="M342" s="86"/>
      <c r="N342" s="87"/>
      <c r="O342" s="86"/>
      <c r="P342" s="86"/>
      <c r="Q342" s="87"/>
    </row>
    <row r="343" spans="1:17" ht="14.45" customHeight="1">
      <c r="A343" s="81">
        <v>49</v>
      </c>
      <c r="B343" s="82"/>
      <c r="C343" s="104" t="s">
        <v>299</v>
      </c>
      <c r="D343" s="104" t="s">
        <v>165</v>
      </c>
      <c r="E343" s="84" t="s">
        <v>267</v>
      </c>
      <c r="F343" s="85"/>
      <c r="G343" s="85"/>
      <c r="H343" s="88"/>
      <c r="I343" s="86"/>
      <c r="J343" s="86"/>
      <c r="K343" s="87"/>
      <c r="L343" s="86"/>
      <c r="M343" s="86"/>
      <c r="N343" s="87"/>
      <c r="O343" s="86"/>
      <c r="P343" s="86"/>
      <c r="Q343" s="87"/>
    </row>
    <row r="344" spans="1:17" ht="24" customHeight="1">
      <c r="A344" s="91">
        <v>49</v>
      </c>
      <c r="B344" s="92"/>
      <c r="C344" s="105" t="s">
        <v>299</v>
      </c>
      <c r="D344" s="105" t="s">
        <v>165</v>
      </c>
      <c r="E344" s="94" t="s">
        <v>267</v>
      </c>
      <c r="F344" s="95" t="s">
        <v>56</v>
      </c>
      <c r="G344" s="96">
        <v>36700</v>
      </c>
      <c r="H344" s="97">
        <v>36700</v>
      </c>
      <c r="I344" s="98"/>
      <c r="J344" s="98"/>
      <c r="K344" s="99"/>
      <c r="L344" s="98"/>
      <c r="M344" s="98"/>
      <c r="N344" s="99"/>
      <c r="O344" s="98"/>
      <c r="P344" s="98"/>
      <c r="Q344" s="99"/>
    </row>
    <row r="345" spans="1:17" ht="14.45" customHeight="1">
      <c r="A345" s="75">
        <v>50</v>
      </c>
      <c r="B345" s="76"/>
      <c r="C345" s="103" t="s">
        <v>319</v>
      </c>
      <c r="D345" s="103" t="s">
        <v>165</v>
      </c>
      <c r="E345" s="78" t="s">
        <v>267</v>
      </c>
      <c r="F345" s="79" t="s">
        <v>50</v>
      </c>
      <c r="G345" s="79" t="s">
        <v>50</v>
      </c>
      <c r="H345" s="80" t="s">
        <v>50</v>
      </c>
      <c r="I345" s="79"/>
      <c r="J345" s="79"/>
      <c r="K345" s="80"/>
      <c r="L345" s="79"/>
      <c r="M345" s="79"/>
      <c r="N345" s="80"/>
      <c r="O345" s="79"/>
      <c r="P345" s="79"/>
      <c r="Q345" s="80"/>
    </row>
    <row r="346" spans="1:17" ht="60" customHeight="1">
      <c r="A346" s="81">
        <v>50</v>
      </c>
      <c r="B346" s="82"/>
      <c r="C346" s="104" t="s">
        <v>319</v>
      </c>
      <c r="D346" s="104" t="s">
        <v>165</v>
      </c>
      <c r="E346" s="84" t="s">
        <v>267</v>
      </c>
      <c r="F346" s="85"/>
      <c r="G346" s="86" t="s">
        <v>342</v>
      </c>
      <c r="H346" s="87" t="s">
        <v>342</v>
      </c>
      <c r="I346" s="86"/>
      <c r="J346" s="86"/>
      <c r="K346" s="87"/>
      <c r="L346" s="86"/>
      <c r="M346" s="86"/>
      <c r="N346" s="87"/>
      <c r="O346" s="86"/>
      <c r="P346" s="86"/>
      <c r="Q346" s="87"/>
    </row>
    <row r="347" spans="1:17" ht="45" customHeight="1">
      <c r="A347" s="81">
        <v>50</v>
      </c>
      <c r="B347" s="82"/>
      <c r="C347" s="104" t="s">
        <v>319</v>
      </c>
      <c r="D347" s="104" t="s">
        <v>165</v>
      </c>
      <c r="E347" s="84" t="s">
        <v>267</v>
      </c>
      <c r="F347" s="85"/>
      <c r="G347" s="85"/>
      <c r="H347" s="88"/>
      <c r="I347" s="86"/>
      <c r="J347" s="86"/>
      <c r="K347" s="87"/>
      <c r="L347" s="86"/>
      <c r="M347" s="86"/>
      <c r="N347" s="87"/>
      <c r="O347" s="86"/>
      <c r="P347" s="86"/>
      <c r="Q347" s="87"/>
    </row>
    <row r="348" spans="1:17" ht="14.45" customHeight="1">
      <c r="A348" s="81">
        <v>50</v>
      </c>
      <c r="B348" s="82"/>
      <c r="C348" s="104" t="s">
        <v>319</v>
      </c>
      <c r="D348" s="104" t="s">
        <v>165</v>
      </c>
      <c r="E348" s="84" t="s">
        <v>267</v>
      </c>
      <c r="F348" s="89">
        <v>73</v>
      </c>
      <c r="G348" s="89">
        <v>87</v>
      </c>
      <c r="H348" s="90">
        <v>13</v>
      </c>
      <c r="I348" s="86"/>
      <c r="J348" s="86"/>
      <c r="K348" s="87"/>
      <c r="L348" s="86"/>
      <c r="M348" s="86"/>
      <c r="N348" s="87"/>
      <c r="O348" s="86"/>
      <c r="P348" s="86"/>
      <c r="Q348" s="87"/>
    </row>
    <row r="349" spans="1:17" ht="45" customHeight="1">
      <c r="A349" s="81">
        <v>50</v>
      </c>
      <c r="B349" s="82"/>
      <c r="C349" s="104" t="s">
        <v>319</v>
      </c>
      <c r="D349" s="104" t="s">
        <v>165</v>
      </c>
      <c r="E349" s="84" t="s">
        <v>267</v>
      </c>
      <c r="F349" s="85"/>
      <c r="G349" s="85"/>
      <c r="H349" s="88"/>
      <c r="I349" s="86"/>
      <c r="J349" s="86"/>
      <c r="K349" s="87"/>
      <c r="L349" s="86"/>
      <c r="M349" s="86"/>
      <c r="N349" s="87"/>
      <c r="O349" s="86"/>
      <c r="P349" s="86"/>
      <c r="Q349" s="87"/>
    </row>
    <row r="350" spans="1:17" ht="14.45" customHeight="1">
      <c r="A350" s="81">
        <v>50</v>
      </c>
      <c r="B350" s="82"/>
      <c r="C350" s="104" t="s">
        <v>319</v>
      </c>
      <c r="D350" s="104" t="s">
        <v>165</v>
      </c>
      <c r="E350" s="84" t="s">
        <v>267</v>
      </c>
      <c r="F350" s="89">
        <v>59</v>
      </c>
      <c r="G350" s="85"/>
      <c r="H350" s="88"/>
      <c r="I350" s="86"/>
      <c r="J350" s="86"/>
      <c r="K350" s="87"/>
      <c r="L350" s="86"/>
      <c r="M350" s="86"/>
      <c r="N350" s="87"/>
      <c r="O350" s="86"/>
      <c r="P350" s="86"/>
      <c r="Q350" s="87"/>
    </row>
    <row r="351" spans="1:17" ht="24" customHeight="1">
      <c r="A351" s="91">
        <v>50</v>
      </c>
      <c r="B351" s="92"/>
      <c r="C351" s="105" t="s">
        <v>319</v>
      </c>
      <c r="D351" s="105" t="s">
        <v>165</v>
      </c>
      <c r="E351" s="94" t="s">
        <v>267</v>
      </c>
      <c r="F351" s="95" t="s">
        <v>56</v>
      </c>
      <c r="G351" s="96">
        <v>28400</v>
      </c>
      <c r="H351" s="97">
        <v>28400</v>
      </c>
      <c r="I351" s="98"/>
      <c r="J351" s="98"/>
      <c r="K351" s="99"/>
      <c r="L351" s="98"/>
      <c r="M351" s="98"/>
      <c r="N351" s="99"/>
      <c r="O351" s="98"/>
      <c r="P351" s="98"/>
      <c r="Q351" s="99"/>
    </row>
    <row r="352" spans="1:17" ht="14.45" customHeight="1">
      <c r="A352" s="75">
        <v>51</v>
      </c>
      <c r="B352" s="76"/>
      <c r="C352" s="103" t="s">
        <v>313</v>
      </c>
      <c r="D352" s="103" t="s">
        <v>165</v>
      </c>
      <c r="E352" s="78" t="s">
        <v>267</v>
      </c>
      <c r="F352" s="79" t="s">
        <v>50</v>
      </c>
      <c r="G352" s="79" t="s">
        <v>50</v>
      </c>
      <c r="H352" s="80" t="s">
        <v>50</v>
      </c>
      <c r="I352" s="79"/>
      <c r="J352" s="79"/>
      <c r="K352" s="80"/>
      <c r="L352" s="79"/>
      <c r="M352" s="79"/>
      <c r="N352" s="80"/>
      <c r="O352" s="79"/>
      <c r="P352" s="79"/>
      <c r="Q352" s="80"/>
    </row>
    <row r="353" spans="1:17" ht="60" customHeight="1">
      <c r="A353" s="81">
        <v>51</v>
      </c>
      <c r="B353" s="82"/>
      <c r="C353" s="104" t="s">
        <v>313</v>
      </c>
      <c r="D353" s="104" t="s">
        <v>165</v>
      </c>
      <c r="E353" s="84" t="s">
        <v>267</v>
      </c>
      <c r="F353" s="85"/>
      <c r="G353" s="86" t="s">
        <v>343</v>
      </c>
      <c r="H353" s="87" t="s">
        <v>343</v>
      </c>
      <c r="I353" s="86"/>
      <c r="J353" s="86"/>
      <c r="K353" s="87"/>
      <c r="L353" s="86"/>
      <c r="M353" s="86"/>
      <c r="N353" s="87"/>
      <c r="O353" s="86"/>
      <c r="P353" s="86"/>
      <c r="Q353" s="87"/>
    </row>
    <row r="354" spans="1:17" ht="45" customHeight="1">
      <c r="A354" s="81">
        <v>51</v>
      </c>
      <c r="B354" s="82"/>
      <c r="C354" s="104" t="s">
        <v>313</v>
      </c>
      <c r="D354" s="104" t="s">
        <v>165</v>
      </c>
      <c r="E354" s="84" t="s">
        <v>267</v>
      </c>
      <c r="F354" s="85"/>
      <c r="G354" s="85"/>
      <c r="H354" s="88"/>
      <c r="I354" s="86"/>
      <c r="J354" s="86"/>
      <c r="K354" s="87"/>
      <c r="L354" s="86"/>
      <c r="M354" s="86"/>
      <c r="N354" s="87"/>
      <c r="O354" s="86"/>
      <c r="P354" s="86"/>
      <c r="Q354" s="87"/>
    </row>
    <row r="355" spans="1:17" ht="14.45" customHeight="1">
      <c r="A355" s="81">
        <v>51</v>
      </c>
      <c r="B355" s="82"/>
      <c r="C355" s="104" t="s">
        <v>313</v>
      </c>
      <c r="D355" s="104" t="s">
        <v>165</v>
      </c>
      <c r="E355" s="84" t="s">
        <v>267</v>
      </c>
      <c r="F355" s="89">
        <v>73</v>
      </c>
      <c r="G355" s="89">
        <v>87</v>
      </c>
      <c r="H355" s="90">
        <v>13</v>
      </c>
      <c r="I355" s="86"/>
      <c r="J355" s="86"/>
      <c r="K355" s="87"/>
      <c r="L355" s="86"/>
      <c r="M355" s="86"/>
      <c r="N355" s="87"/>
      <c r="O355" s="86"/>
      <c r="P355" s="86"/>
      <c r="Q355" s="87"/>
    </row>
    <row r="356" spans="1:17" ht="45" customHeight="1">
      <c r="A356" s="81">
        <v>51</v>
      </c>
      <c r="B356" s="82"/>
      <c r="C356" s="104" t="s">
        <v>313</v>
      </c>
      <c r="D356" s="104" t="s">
        <v>165</v>
      </c>
      <c r="E356" s="84" t="s">
        <v>267</v>
      </c>
      <c r="F356" s="85"/>
      <c r="G356" s="85"/>
      <c r="H356" s="88"/>
      <c r="I356" s="86"/>
      <c r="J356" s="86"/>
      <c r="K356" s="87"/>
      <c r="L356" s="86"/>
      <c r="M356" s="86"/>
      <c r="N356" s="87"/>
      <c r="O356" s="86"/>
      <c r="P356" s="86"/>
      <c r="Q356" s="87"/>
    </row>
    <row r="357" spans="1:17" ht="14.45" customHeight="1">
      <c r="A357" s="81">
        <v>51</v>
      </c>
      <c r="B357" s="82"/>
      <c r="C357" s="104" t="s">
        <v>313</v>
      </c>
      <c r="D357" s="104" t="s">
        <v>165</v>
      </c>
      <c r="E357" s="84" t="s">
        <v>267</v>
      </c>
      <c r="F357" s="89">
        <v>59</v>
      </c>
      <c r="G357" s="85"/>
      <c r="H357" s="88"/>
      <c r="I357" s="86"/>
      <c r="J357" s="86"/>
      <c r="K357" s="87"/>
      <c r="L357" s="86"/>
      <c r="M357" s="86"/>
      <c r="N357" s="87"/>
      <c r="O357" s="86"/>
      <c r="P357" s="86"/>
      <c r="Q357" s="87"/>
    </row>
    <row r="358" spans="1:17" ht="24" customHeight="1">
      <c r="A358" s="91">
        <v>51</v>
      </c>
      <c r="B358" s="92"/>
      <c r="C358" s="105" t="s">
        <v>313</v>
      </c>
      <c r="D358" s="105" t="s">
        <v>165</v>
      </c>
      <c r="E358" s="94" t="s">
        <v>267</v>
      </c>
      <c r="F358" s="95" t="s">
        <v>56</v>
      </c>
      <c r="G358" s="96">
        <v>28400</v>
      </c>
      <c r="H358" s="97">
        <v>28400</v>
      </c>
      <c r="I358" s="98"/>
      <c r="J358" s="98"/>
      <c r="K358" s="99"/>
      <c r="L358" s="98"/>
      <c r="M358" s="98"/>
      <c r="N358" s="99"/>
      <c r="O358" s="98"/>
      <c r="P358" s="98"/>
      <c r="Q358" s="99"/>
    </row>
    <row r="359" spans="1:17" ht="14.45" customHeight="1">
      <c r="A359" s="75">
        <v>52</v>
      </c>
      <c r="B359" s="76"/>
      <c r="C359" s="103" t="s">
        <v>311</v>
      </c>
      <c r="D359" s="103" t="s">
        <v>165</v>
      </c>
      <c r="E359" s="78" t="s">
        <v>267</v>
      </c>
      <c r="F359" s="79" t="s">
        <v>50</v>
      </c>
      <c r="G359" s="79" t="s">
        <v>50</v>
      </c>
      <c r="H359" s="80" t="s">
        <v>50</v>
      </c>
      <c r="I359" s="79"/>
      <c r="J359" s="79"/>
      <c r="K359" s="80"/>
      <c r="L359" s="79"/>
      <c r="M359" s="79"/>
      <c r="N359" s="80"/>
      <c r="O359" s="79"/>
      <c r="P359" s="79"/>
      <c r="Q359" s="80"/>
    </row>
    <row r="360" spans="1:17" ht="60" customHeight="1">
      <c r="A360" s="81">
        <v>52</v>
      </c>
      <c r="B360" s="82"/>
      <c r="C360" s="104" t="s">
        <v>311</v>
      </c>
      <c r="D360" s="104" t="s">
        <v>165</v>
      </c>
      <c r="E360" s="84" t="s">
        <v>267</v>
      </c>
      <c r="F360" s="85"/>
      <c r="G360" s="86" t="s">
        <v>344</v>
      </c>
      <c r="H360" s="87" t="s">
        <v>344</v>
      </c>
      <c r="I360" s="86"/>
      <c r="J360" s="86"/>
      <c r="K360" s="87"/>
      <c r="L360" s="86"/>
      <c r="M360" s="86"/>
      <c r="N360" s="87"/>
      <c r="O360" s="86"/>
      <c r="P360" s="86"/>
      <c r="Q360" s="87"/>
    </row>
    <row r="361" spans="1:17" ht="45" customHeight="1">
      <c r="A361" s="81">
        <v>52</v>
      </c>
      <c r="B361" s="82"/>
      <c r="C361" s="104" t="s">
        <v>311</v>
      </c>
      <c r="D361" s="104" t="s">
        <v>165</v>
      </c>
      <c r="E361" s="84" t="s">
        <v>267</v>
      </c>
      <c r="F361" s="85"/>
      <c r="G361" s="85"/>
      <c r="H361" s="88"/>
      <c r="I361" s="86"/>
      <c r="J361" s="86"/>
      <c r="K361" s="87"/>
      <c r="L361" s="86"/>
      <c r="M361" s="86"/>
      <c r="N361" s="87"/>
      <c r="O361" s="86"/>
      <c r="P361" s="86"/>
      <c r="Q361" s="87"/>
    </row>
    <row r="362" spans="1:17" ht="14.45" customHeight="1">
      <c r="A362" s="81">
        <v>52</v>
      </c>
      <c r="B362" s="82"/>
      <c r="C362" s="104" t="s">
        <v>311</v>
      </c>
      <c r="D362" s="104" t="s">
        <v>165</v>
      </c>
      <c r="E362" s="84" t="s">
        <v>267</v>
      </c>
      <c r="F362" s="89">
        <v>73</v>
      </c>
      <c r="G362" s="89">
        <v>87</v>
      </c>
      <c r="H362" s="90">
        <v>13</v>
      </c>
      <c r="I362" s="86"/>
      <c r="J362" s="86"/>
      <c r="K362" s="87"/>
      <c r="L362" s="86"/>
      <c r="M362" s="86"/>
      <c r="N362" s="87"/>
      <c r="O362" s="86"/>
      <c r="P362" s="86"/>
      <c r="Q362" s="87"/>
    </row>
    <row r="363" spans="1:17" ht="45" customHeight="1">
      <c r="A363" s="81">
        <v>52</v>
      </c>
      <c r="B363" s="82"/>
      <c r="C363" s="104" t="s">
        <v>311</v>
      </c>
      <c r="D363" s="104" t="s">
        <v>165</v>
      </c>
      <c r="E363" s="84" t="s">
        <v>267</v>
      </c>
      <c r="F363" s="85"/>
      <c r="G363" s="85"/>
      <c r="H363" s="88"/>
      <c r="I363" s="86"/>
      <c r="J363" s="86"/>
      <c r="K363" s="87"/>
      <c r="L363" s="86"/>
      <c r="M363" s="86"/>
      <c r="N363" s="87"/>
      <c r="O363" s="86"/>
      <c r="P363" s="86"/>
      <c r="Q363" s="87"/>
    </row>
    <row r="364" spans="1:17" ht="14.45" customHeight="1">
      <c r="A364" s="81">
        <v>52</v>
      </c>
      <c r="B364" s="82"/>
      <c r="C364" s="104" t="s">
        <v>311</v>
      </c>
      <c r="D364" s="104" t="s">
        <v>165</v>
      </c>
      <c r="E364" s="84" t="s">
        <v>267</v>
      </c>
      <c r="F364" s="89">
        <v>59</v>
      </c>
      <c r="G364" s="85"/>
      <c r="H364" s="88"/>
      <c r="I364" s="86"/>
      <c r="J364" s="86"/>
      <c r="K364" s="87"/>
      <c r="L364" s="86"/>
      <c r="M364" s="86"/>
      <c r="N364" s="87"/>
      <c r="O364" s="86"/>
      <c r="P364" s="86"/>
      <c r="Q364" s="87"/>
    </row>
    <row r="365" spans="1:17" ht="24" customHeight="1">
      <c r="A365" s="91">
        <v>52</v>
      </c>
      <c r="B365" s="92"/>
      <c r="C365" s="105" t="s">
        <v>311</v>
      </c>
      <c r="D365" s="105" t="s">
        <v>165</v>
      </c>
      <c r="E365" s="94" t="s">
        <v>267</v>
      </c>
      <c r="F365" s="95" t="s">
        <v>56</v>
      </c>
      <c r="G365" s="96">
        <v>28400</v>
      </c>
      <c r="H365" s="97">
        <v>28400</v>
      </c>
      <c r="I365" s="98"/>
      <c r="J365" s="98"/>
      <c r="K365" s="99"/>
      <c r="L365" s="98"/>
      <c r="M365" s="98"/>
      <c r="N365" s="99"/>
      <c r="O365" s="98"/>
      <c r="P365" s="98"/>
      <c r="Q365" s="99"/>
    </row>
    <row r="366" spans="1:17" ht="14.45" customHeight="1">
      <c r="A366" s="75">
        <v>53</v>
      </c>
      <c r="B366" s="76"/>
      <c r="C366" s="103" t="s">
        <v>315</v>
      </c>
      <c r="D366" s="103" t="s">
        <v>165</v>
      </c>
      <c r="E366" s="78" t="s">
        <v>267</v>
      </c>
      <c r="F366" s="79" t="s">
        <v>50</v>
      </c>
      <c r="G366" s="79" t="s">
        <v>50</v>
      </c>
      <c r="H366" s="80" t="s">
        <v>50</v>
      </c>
      <c r="I366" s="79"/>
      <c r="J366" s="79"/>
      <c r="K366" s="80"/>
      <c r="L366" s="79"/>
      <c r="M366" s="79"/>
      <c r="N366" s="80"/>
      <c r="O366" s="79"/>
      <c r="P366" s="79"/>
      <c r="Q366" s="80"/>
    </row>
    <row r="367" spans="1:17" ht="60" customHeight="1">
      <c r="A367" s="81">
        <v>53</v>
      </c>
      <c r="B367" s="82"/>
      <c r="C367" s="104" t="s">
        <v>315</v>
      </c>
      <c r="D367" s="104" t="s">
        <v>165</v>
      </c>
      <c r="E367" s="84" t="s">
        <v>267</v>
      </c>
      <c r="F367" s="85"/>
      <c r="G367" s="86" t="s">
        <v>345</v>
      </c>
      <c r="H367" s="87" t="s">
        <v>345</v>
      </c>
      <c r="I367" s="86"/>
      <c r="J367" s="86"/>
      <c r="K367" s="87"/>
      <c r="L367" s="86"/>
      <c r="M367" s="86"/>
      <c r="N367" s="87"/>
      <c r="O367" s="86"/>
      <c r="P367" s="86"/>
      <c r="Q367" s="87"/>
    </row>
    <row r="368" spans="1:17" ht="45" customHeight="1">
      <c r="A368" s="81">
        <v>53</v>
      </c>
      <c r="B368" s="82"/>
      <c r="C368" s="104" t="s">
        <v>315</v>
      </c>
      <c r="D368" s="104" t="s">
        <v>165</v>
      </c>
      <c r="E368" s="84" t="s">
        <v>267</v>
      </c>
      <c r="F368" s="85"/>
      <c r="G368" s="85"/>
      <c r="H368" s="88"/>
      <c r="I368" s="86"/>
      <c r="J368" s="86"/>
      <c r="K368" s="87"/>
      <c r="L368" s="86"/>
      <c r="M368" s="86"/>
      <c r="N368" s="87"/>
      <c r="O368" s="86"/>
      <c r="P368" s="86"/>
      <c r="Q368" s="87"/>
    </row>
    <row r="369" spans="1:17" ht="14.45" customHeight="1">
      <c r="A369" s="81">
        <v>53</v>
      </c>
      <c r="B369" s="82"/>
      <c r="C369" s="104" t="s">
        <v>315</v>
      </c>
      <c r="D369" s="104" t="s">
        <v>165</v>
      </c>
      <c r="E369" s="84" t="s">
        <v>267</v>
      </c>
      <c r="F369" s="89">
        <v>73</v>
      </c>
      <c r="G369" s="89">
        <v>87</v>
      </c>
      <c r="H369" s="90">
        <v>13</v>
      </c>
      <c r="I369" s="86"/>
      <c r="J369" s="86"/>
      <c r="K369" s="87"/>
      <c r="L369" s="86"/>
      <c r="M369" s="86"/>
      <c r="N369" s="87"/>
      <c r="O369" s="86"/>
      <c r="P369" s="86"/>
      <c r="Q369" s="87"/>
    </row>
    <row r="370" spans="1:17" ht="45" customHeight="1">
      <c r="A370" s="81">
        <v>53</v>
      </c>
      <c r="B370" s="82"/>
      <c r="C370" s="104" t="s">
        <v>315</v>
      </c>
      <c r="D370" s="104" t="s">
        <v>165</v>
      </c>
      <c r="E370" s="84" t="s">
        <v>267</v>
      </c>
      <c r="F370" s="85"/>
      <c r="G370" s="85"/>
      <c r="H370" s="88"/>
      <c r="I370" s="86"/>
      <c r="J370" s="86"/>
      <c r="K370" s="87"/>
      <c r="L370" s="86"/>
      <c r="M370" s="86"/>
      <c r="N370" s="87"/>
      <c r="O370" s="86"/>
      <c r="P370" s="86"/>
      <c r="Q370" s="87"/>
    </row>
    <row r="371" spans="1:17" ht="14.45" customHeight="1">
      <c r="A371" s="81">
        <v>53</v>
      </c>
      <c r="B371" s="82"/>
      <c r="C371" s="104" t="s">
        <v>315</v>
      </c>
      <c r="D371" s="104" t="s">
        <v>165</v>
      </c>
      <c r="E371" s="84" t="s">
        <v>267</v>
      </c>
      <c r="F371" s="89">
        <v>59</v>
      </c>
      <c r="G371" s="85"/>
      <c r="H371" s="88"/>
      <c r="I371" s="86"/>
      <c r="J371" s="86"/>
      <c r="K371" s="87"/>
      <c r="L371" s="86"/>
      <c r="M371" s="86"/>
      <c r="N371" s="87"/>
      <c r="O371" s="86"/>
      <c r="P371" s="86"/>
      <c r="Q371" s="87"/>
    </row>
    <row r="372" spans="1:17" ht="24" customHeight="1">
      <c r="A372" s="91">
        <v>53</v>
      </c>
      <c r="B372" s="92"/>
      <c r="C372" s="105" t="s">
        <v>315</v>
      </c>
      <c r="D372" s="105" t="s">
        <v>165</v>
      </c>
      <c r="E372" s="94" t="s">
        <v>267</v>
      </c>
      <c r="F372" s="95" t="s">
        <v>56</v>
      </c>
      <c r="G372" s="96">
        <v>28400</v>
      </c>
      <c r="H372" s="97">
        <v>28400</v>
      </c>
      <c r="I372" s="98"/>
      <c r="J372" s="98"/>
      <c r="K372" s="99"/>
      <c r="L372" s="98"/>
      <c r="M372" s="98"/>
      <c r="N372" s="99"/>
      <c r="O372" s="98"/>
      <c r="P372" s="98"/>
      <c r="Q372" s="99"/>
    </row>
    <row r="373" spans="1:17" ht="14.45" customHeight="1">
      <c r="A373" s="75">
        <v>54</v>
      </c>
      <c r="B373" s="76"/>
      <c r="C373" s="103" t="s">
        <v>324</v>
      </c>
      <c r="D373" s="103" t="s">
        <v>165</v>
      </c>
      <c r="E373" s="78" t="s">
        <v>267</v>
      </c>
      <c r="F373" s="79" t="s">
        <v>50</v>
      </c>
      <c r="G373" s="79" t="s">
        <v>50</v>
      </c>
      <c r="H373" s="80" t="s">
        <v>50</v>
      </c>
      <c r="I373" s="79"/>
      <c r="J373" s="79"/>
      <c r="K373" s="80"/>
      <c r="L373" s="79"/>
      <c r="M373" s="79"/>
      <c r="N373" s="80"/>
      <c r="O373" s="79"/>
      <c r="P373" s="79"/>
      <c r="Q373" s="80"/>
    </row>
    <row r="374" spans="1:17" ht="60" customHeight="1">
      <c r="A374" s="81">
        <v>54</v>
      </c>
      <c r="B374" s="82"/>
      <c r="C374" s="104" t="s">
        <v>324</v>
      </c>
      <c r="D374" s="104" t="s">
        <v>165</v>
      </c>
      <c r="E374" s="84" t="s">
        <v>267</v>
      </c>
      <c r="F374" s="85"/>
      <c r="G374" s="86" t="s">
        <v>346</v>
      </c>
      <c r="H374" s="87" t="s">
        <v>346</v>
      </c>
      <c r="I374" s="86"/>
      <c r="J374" s="86"/>
      <c r="K374" s="87"/>
      <c r="L374" s="86"/>
      <c r="M374" s="86"/>
      <c r="N374" s="87"/>
      <c r="O374" s="86"/>
      <c r="P374" s="86"/>
      <c r="Q374" s="87"/>
    </row>
    <row r="375" spans="1:17" ht="45" customHeight="1">
      <c r="A375" s="81">
        <v>54</v>
      </c>
      <c r="B375" s="82"/>
      <c r="C375" s="104" t="s">
        <v>324</v>
      </c>
      <c r="D375" s="104" t="s">
        <v>165</v>
      </c>
      <c r="E375" s="84" t="s">
        <v>267</v>
      </c>
      <c r="F375" s="85"/>
      <c r="G375" s="85"/>
      <c r="H375" s="88"/>
      <c r="I375" s="86"/>
      <c r="J375" s="86"/>
      <c r="K375" s="87"/>
      <c r="L375" s="86"/>
      <c r="M375" s="86"/>
      <c r="N375" s="87"/>
      <c r="O375" s="86"/>
      <c r="P375" s="86"/>
      <c r="Q375" s="87"/>
    </row>
    <row r="376" spans="1:17" ht="14.45" customHeight="1">
      <c r="A376" s="81">
        <v>54</v>
      </c>
      <c r="B376" s="82"/>
      <c r="C376" s="104" t="s">
        <v>324</v>
      </c>
      <c r="D376" s="104" t="s">
        <v>165</v>
      </c>
      <c r="E376" s="84" t="s">
        <v>267</v>
      </c>
      <c r="F376" s="89">
        <v>73</v>
      </c>
      <c r="G376" s="89">
        <v>87</v>
      </c>
      <c r="H376" s="90">
        <v>13</v>
      </c>
      <c r="I376" s="86"/>
      <c r="J376" s="86"/>
      <c r="K376" s="87"/>
      <c r="L376" s="86"/>
      <c r="M376" s="86"/>
      <c r="N376" s="87"/>
      <c r="O376" s="86"/>
      <c r="P376" s="86"/>
      <c r="Q376" s="87"/>
    </row>
    <row r="377" spans="1:17" ht="45" customHeight="1">
      <c r="A377" s="81">
        <v>54</v>
      </c>
      <c r="B377" s="82"/>
      <c r="C377" s="104" t="s">
        <v>324</v>
      </c>
      <c r="D377" s="104" t="s">
        <v>165</v>
      </c>
      <c r="E377" s="84" t="s">
        <v>267</v>
      </c>
      <c r="F377" s="85"/>
      <c r="G377" s="85"/>
      <c r="H377" s="88"/>
      <c r="I377" s="86"/>
      <c r="J377" s="86"/>
      <c r="K377" s="87"/>
      <c r="L377" s="86"/>
      <c r="M377" s="86"/>
      <c r="N377" s="87"/>
      <c r="O377" s="86"/>
      <c r="P377" s="86"/>
      <c r="Q377" s="87"/>
    </row>
    <row r="378" spans="1:17" ht="14.45" customHeight="1">
      <c r="A378" s="81">
        <v>54</v>
      </c>
      <c r="B378" s="82"/>
      <c r="C378" s="104" t="s">
        <v>324</v>
      </c>
      <c r="D378" s="104" t="s">
        <v>165</v>
      </c>
      <c r="E378" s="84" t="s">
        <v>267</v>
      </c>
      <c r="F378" s="89">
        <v>59</v>
      </c>
      <c r="G378" s="85"/>
      <c r="H378" s="88"/>
      <c r="I378" s="86"/>
      <c r="J378" s="86"/>
      <c r="K378" s="87"/>
      <c r="L378" s="86"/>
      <c r="M378" s="86"/>
      <c r="N378" s="87"/>
      <c r="O378" s="86"/>
      <c r="P378" s="86"/>
      <c r="Q378" s="87"/>
    </row>
    <row r="379" spans="1:17" ht="24" customHeight="1">
      <c r="A379" s="91">
        <v>54</v>
      </c>
      <c r="B379" s="92"/>
      <c r="C379" s="105" t="s">
        <v>324</v>
      </c>
      <c r="D379" s="105" t="s">
        <v>165</v>
      </c>
      <c r="E379" s="94" t="s">
        <v>267</v>
      </c>
      <c r="F379" s="95" t="s">
        <v>56</v>
      </c>
      <c r="G379" s="96">
        <v>28400</v>
      </c>
      <c r="H379" s="97">
        <v>28400</v>
      </c>
      <c r="I379" s="98"/>
      <c r="J379" s="98"/>
      <c r="K379" s="99"/>
      <c r="L379" s="98"/>
      <c r="M379" s="98"/>
      <c r="N379" s="99"/>
      <c r="O379" s="98"/>
      <c r="P379" s="98"/>
      <c r="Q379" s="99"/>
    </row>
    <row r="380" spans="1:17" ht="14.45" customHeight="1">
      <c r="A380" s="75">
        <v>55</v>
      </c>
      <c r="B380" s="76"/>
      <c r="C380" s="103" t="s">
        <v>326</v>
      </c>
      <c r="D380" s="103" t="s">
        <v>165</v>
      </c>
      <c r="E380" s="78" t="s">
        <v>267</v>
      </c>
      <c r="F380" s="79" t="s">
        <v>50</v>
      </c>
      <c r="G380" s="79" t="s">
        <v>50</v>
      </c>
      <c r="H380" s="80" t="s">
        <v>50</v>
      </c>
      <c r="I380" s="79"/>
      <c r="J380" s="79"/>
      <c r="K380" s="80"/>
      <c r="L380" s="79"/>
      <c r="M380" s="79"/>
      <c r="N380" s="80"/>
      <c r="O380" s="79"/>
      <c r="P380" s="79"/>
      <c r="Q380" s="80"/>
    </row>
    <row r="381" spans="1:17" ht="60" customHeight="1">
      <c r="A381" s="81">
        <v>55</v>
      </c>
      <c r="B381" s="82"/>
      <c r="C381" s="104" t="s">
        <v>326</v>
      </c>
      <c r="D381" s="104" t="s">
        <v>165</v>
      </c>
      <c r="E381" s="84" t="s">
        <v>267</v>
      </c>
      <c r="F381" s="85"/>
      <c r="G381" s="86" t="s">
        <v>347</v>
      </c>
      <c r="H381" s="87" t="s">
        <v>347</v>
      </c>
      <c r="I381" s="86"/>
      <c r="J381" s="86"/>
      <c r="K381" s="87"/>
      <c r="L381" s="86"/>
      <c r="M381" s="86"/>
      <c r="N381" s="87"/>
      <c r="O381" s="86"/>
      <c r="P381" s="86"/>
      <c r="Q381" s="87"/>
    </row>
    <row r="382" spans="1:17" ht="45" customHeight="1">
      <c r="A382" s="81">
        <v>55</v>
      </c>
      <c r="B382" s="82"/>
      <c r="C382" s="104" t="s">
        <v>326</v>
      </c>
      <c r="D382" s="104" t="s">
        <v>165</v>
      </c>
      <c r="E382" s="84" t="s">
        <v>267</v>
      </c>
      <c r="F382" s="85"/>
      <c r="G382" s="85"/>
      <c r="H382" s="88"/>
      <c r="I382" s="86"/>
      <c r="J382" s="86"/>
      <c r="K382" s="87"/>
      <c r="L382" s="86"/>
      <c r="M382" s="86"/>
      <c r="N382" s="87"/>
      <c r="O382" s="86"/>
      <c r="P382" s="86"/>
      <c r="Q382" s="87"/>
    </row>
    <row r="383" spans="1:17" ht="14.45" customHeight="1">
      <c r="A383" s="81">
        <v>55</v>
      </c>
      <c r="B383" s="82"/>
      <c r="C383" s="104" t="s">
        <v>326</v>
      </c>
      <c r="D383" s="104" t="s">
        <v>165</v>
      </c>
      <c r="E383" s="84" t="s">
        <v>267</v>
      </c>
      <c r="F383" s="89">
        <v>73</v>
      </c>
      <c r="G383" s="89">
        <v>87</v>
      </c>
      <c r="H383" s="90">
        <v>13</v>
      </c>
      <c r="I383" s="86"/>
      <c r="J383" s="86"/>
      <c r="K383" s="87"/>
      <c r="L383" s="86"/>
      <c r="M383" s="86"/>
      <c r="N383" s="87"/>
      <c r="O383" s="86"/>
      <c r="P383" s="86"/>
      <c r="Q383" s="87"/>
    </row>
    <row r="384" spans="1:17" ht="45" customHeight="1">
      <c r="A384" s="81">
        <v>55</v>
      </c>
      <c r="B384" s="82"/>
      <c r="C384" s="104" t="s">
        <v>326</v>
      </c>
      <c r="D384" s="104" t="s">
        <v>165</v>
      </c>
      <c r="E384" s="84" t="s">
        <v>267</v>
      </c>
      <c r="F384" s="85"/>
      <c r="G384" s="85"/>
      <c r="H384" s="88"/>
      <c r="I384" s="86"/>
      <c r="J384" s="86"/>
      <c r="K384" s="87"/>
      <c r="L384" s="86"/>
      <c r="M384" s="86"/>
      <c r="N384" s="87"/>
      <c r="O384" s="86"/>
      <c r="P384" s="86"/>
      <c r="Q384" s="87"/>
    </row>
    <row r="385" spans="1:17" ht="14.45" customHeight="1">
      <c r="A385" s="81">
        <v>55</v>
      </c>
      <c r="B385" s="82"/>
      <c r="C385" s="104" t="s">
        <v>326</v>
      </c>
      <c r="D385" s="104" t="s">
        <v>165</v>
      </c>
      <c r="E385" s="84" t="s">
        <v>267</v>
      </c>
      <c r="F385" s="89">
        <v>59</v>
      </c>
      <c r="G385" s="85"/>
      <c r="H385" s="88"/>
      <c r="I385" s="86"/>
      <c r="J385" s="86"/>
      <c r="K385" s="87"/>
      <c r="L385" s="86"/>
      <c r="M385" s="86"/>
      <c r="N385" s="87"/>
      <c r="O385" s="86"/>
      <c r="P385" s="86"/>
      <c r="Q385" s="87"/>
    </row>
    <row r="386" spans="1:17" ht="24" customHeight="1">
      <c r="A386" s="91">
        <v>55</v>
      </c>
      <c r="B386" s="92"/>
      <c r="C386" s="105" t="s">
        <v>326</v>
      </c>
      <c r="D386" s="105" t="s">
        <v>165</v>
      </c>
      <c r="E386" s="94" t="s">
        <v>267</v>
      </c>
      <c r="F386" s="95" t="s">
        <v>56</v>
      </c>
      <c r="G386" s="96">
        <v>28400</v>
      </c>
      <c r="H386" s="97">
        <v>28400</v>
      </c>
      <c r="I386" s="98"/>
      <c r="J386" s="98"/>
      <c r="K386" s="99"/>
      <c r="L386" s="98"/>
      <c r="M386" s="98"/>
      <c r="N386" s="99"/>
      <c r="O386" s="98"/>
      <c r="P386" s="98"/>
      <c r="Q386" s="99"/>
    </row>
    <row r="387" spans="1:17" ht="14.45" customHeight="1">
      <c r="A387" s="75">
        <v>56</v>
      </c>
      <c r="B387" s="76"/>
      <c r="C387" s="103" t="s">
        <v>317</v>
      </c>
      <c r="D387" s="103" t="s">
        <v>165</v>
      </c>
      <c r="E387" s="78" t="s">
        <v>267</v>
      </c>
      <c r="F387" s="79" t="s">
        <v>50</v>
      </c>
      <c r="G387" s="79" t="s">
        <v>50</v>
      </c>
      <c r="H387" s="80" t="s">
        <v>50</v>
      </c>
      <c r="I387" s="79"/>
      <c r="J387" s="79"/>
      <c r="K387" s="80"/>
      <c r="L387" s="79"/>
      <c r="M387" s="79"/>
      <c r="N387" s="80"/>
      <c r="O387" s="79"/>
      <c r="P387" s="79"/>
      <c r="Q387" s="80"/>
    </row>
    <row r="388" spans="1:17" ht="60" customHeight="1">
      <c r="A388" s="81">
        <v>56</v>
      </c>
      <c r="B388" s="82"/>
      <c r="C388" s="104" t="s">
        <v>317</v>
      </c>
      <c r="D388" s="104" t="s">
        <v>165</v>
      </c>
      <c r="E388" s="84" t="s">
        <v>267</v>
      </c>
      <c r="F388" s="85"/>
      <c r="G388" s="86" t="s">
        <v>348</v>
      </c>
      <c r="H388" s="87" t="s">
        <v>348</v>
      </c>
      <c r="I388" s="86"/>
      <c r="J388" s="86"/>
      <c r="K388" s="87"/>
      <c r="L388" s="86"/>
      <c r="M388" s="86"/>
      <c r="N388" s="87"/>
      <c r="O388" s="86"/>
      <c r="P388" s="86"/>
      <c r="Q388" s="87"/>
    </row>
    <row r="389" spans="1:17" ht="45" customHeight="1">
      <c r="A389" s="81">
        <v>56</v>
      </c>
      <c r="B389" s="82"/>
      <c r="C389" s="104" t="s">
        <v>317</v>
      </c>
      <c r="D389" s="104" t="s">
        <v>165</v>
      </c>
      <c r="E389" s="84" t="s">
        <v>267</v>
      </c>
      <c r="F389" s="85"/>
      <c r="G389" s="85"/>
      <c r="H389" s="88"/>
      <c r="I389" s="86"/>
      <c r="J389" s="86"/>
      <c r="K389" s="87"/>
      <c r="L389" s="86"/>
      <c r="M389" s="86"/>
      <c r="N389" s="87"/>
      <c r="O389" s="86"/>
      <c r="P389" s="86"/>
      <c r="Q389" s="87"/>
    </row>
    <row r="390" spans="1:17" ht="14.45" customHeight="1">
      <c r="A390" s="81">
        <v>56</v>
      </c>
      <c r="B390" s="82"/>
      <c r="C390" s="104" t="s">
        <v>317</v>
      </c>
      <c r="D390" s="104" t="s">
        <v>165</v>
      </c>
      <c r="E390" s="84" t="s">
        <v>267</v>
      </c>
      <c r="F390" s="89">
        <v>73</v>
      </c>
      <c r="G390" s="89">
        <v>87</v>
      </c>
      <c r="H390" s="90">
        <v>13</v>
      </c>
      <c r="I390" s="86"/>
      <c r="J390" s="86"/>
      <c r="K390" s="87"/>
      <c r="L390" s="86"/>
      <c r="M390" s="86"/>
      <c r="N390" s="87"/>
      <c r="O390" s="86"/>
      <c r="P390" s="86"/>
      <c r="Q390" s="87"/>
    </row>
    <row r="391" spans="1:17" ht="45" customHeight="1">
      <c r="A391" s="81">
        <v>56</v>
      </c>
      <c r="B391" s="82"/>
      <c r="C391" s="104" t="s">
        <v>317</v>
      </c>
      <c r="D391" s="104" t="s">
        <v>165</v>
      </c>
      <c r="E391" s="84" t="s">
        <v>267</v>
      </c>
      <c r="F391" s="85"/>
      <c r="G391" s="85"/>
      <c r="H391" s="88"/>
      <c r="I391" s="86"/>
      <c r="J391" s="86"/>
      <c r="K391" s="87"/>
      <c r="L391" s="86"/>
      <c r="M391" s="86"/>
      <c r="N391" s="87"/>
      <c r="O391" s="86"/>
      <c r="P391" s="86"/>
      <c r="Q391" s="87"/>
    </row>
    <row r="392" spans="1:17" ht="14.45" customHeight="1">
      <c r="A392" s="81">
        <v>56</v>
      </c>
      <c r="B392" s="82"/>
      <c r="C392" s="104" t="s">
        <v>317</v>
      </c>
      <c r="D392" s="104" t="s">
        <v>165</v>
      </c>
      <c r="E392" s="84" t="s">
        <v>267</v>
      </c>
      <c r="F392" s="89">
        <v>59</v>
      </c>
      <c r="G392" s="85"/>
      <c r="H392" s="88"/>
      <c r="I392" s="86"/>
      <c r="J392" s="86"/>
      <c r="K392" s="87"/>
      <c r="L392" s="86"/>
      <c r="M392" s="86"/>
      <c r="N392" s="87"/>
      <c r="O392" s="86"/>
      <c r="P392" s="86"/>
      <c r="Q392" s="87"/>
    </row>
    <row r="393" spans="1:17" ht="24" customHeight="1">
      <c r="A393" s="91">
        <v>56</v>
      </c>
      <c r="B393" s="92"/>
      <c r="C393" s="105" t="s">
        <v>317</v>
      </c>
      <c r="D393" s="105" t="s">
        <v>165</v>
      </c>
      <c r="E393" s="94" t="s">
        <v>267</v>
      </c>
      <c r="F393" s="95" t="s">
        <v>56</v>
      </c>
      <c r="G393" s="96">
        <v>28400</v>
      </c>
      <c r="H393" s="97">
        <v>28400</v>
      </c>
      <c r="I393" s="98"/>
      <c r="J393" s="98"/>
      <c r="K393" s="99"/>
      <c r="L393" s="98"/>
      <c r="M393" s="98"/>
      <c r="N393" s="99"/>
      <c r="O393" s="98"/>
      <c r="P393" s="98"/>
      <c r="Q393" s="99"/>
    </row>
    <row r="394" spans="1:17" ht="14.45" customHeight="1">
      <c r="A394" s="75">
        <v>57</v>
      </c>
      <c r="B394" s="76"/>
      <c r="C394" s="103" t="s">
        <v>283</v>
      </c>
      <c r="D394" s="103" t="s">
        <v>165</v>
      </c>
      <c r="E394" s="78" t="s">
        <v>267</v>
      </c>
      <c r="F394" s="79" t="s">
        <v>50</v>
      </c>
      <c r="G394" s="79" t="s">
        <v>50</v>
      </c>
      <c r="H394" s="80" t="s">
        <v>50</v>
      </c>
      <c r="I394" s="79"/>
      <c r="J394" s="79"/>
      <c r="K394" s="80"/>
      <c r="L394" s="79"/>
      <c r="M394" s="79"/>
      <c r="N394" s="80"/>
      <c r="O394" s="79"/>
      <c r="P394" s="79"/>
      <c r="Q394" s="80"/>
    </row>
    <row r="395" spans="1:17" ht="60" customHeight="1">
      <c r="A395" s="81">
        <v>57</v>
      </c>
      <c r="B395" s="82"/>
      <c r="C395" s="104" t="s">
        <v>283</v>
      </c>
      <c r="D395" s="104" t="s">
        <v>165</v>
      </c>
      <c r="E395" s="84" t="s">
        <v>267</v>
      </c>
      <c r="F395" s="85"/>
      <c r="G395" s="86" t="s">
        <v>349</v>
      </c>
      <c r="H395" s="87" t="s">
        <v>349</v>
      </c>
      <c r="I395" s="86"/>
      <c r="J395" s="86"/>
      <c r="K395" s="87"/>
      <c r="L395" s="86"/>
      <c r="M395" s="86"/>
      <c r="N395" s="87"/>
      <c r="O395" s="86"/>
      <c r="P395" s="86"/>
      <c r="Q395" s="87"/>
    </row>
    <row r="396" spans="1:17" ht="45" customHeight="1">
      <c r="A396" s="81">
        <v>57</v>
      </c>
      <c r="B396" s="82"/>
      <c r="C396" s="104" t="s">
        <v>283</v>
      </c>
      <c r="D396" s="104" t="s">
        <v>165</v>
      </c>
      <c r="E396" s="84" t="s">
        <v>267</v>
      </c>
      <c r="F396" s="85"/>
      <c r="G396" s="85"/>
      <c r="H396" s="88"/>
      <c r="I396" s="86"/>
      <c r="J396" s="86"/>
      <c r="K396" s="87"/>
      <c r="L396" s="86"/>
      <c r="M396" s="86"/>
      <c r="N396" s="87"/>
      <c r="O396" s="86"/>
      <c r="P396" s="86"/>
      <c r="Q396" s="87"/>
    </row>
    <row r="397" spans="1:17" ht="14.45" customHeight="1">
      <c r="A397" s="81">
        <v>57</v>
      </c>
      <c r="B397" s="82"/>
      <c r="C397" s="104" t="s">
        <v>283</v>
      </c>
      <c r="D397" s="104" t="s">
        <v>165</v>
      </c>
      <c r="E397" s="84" t="s">
        <v>267</v>
      </c>
      <c r="F397" s="89">
        <v>73</v>
      </c>
      <c r="G397" s="89">
        <v>87</v>
      </c>
      <c r="H397" s="90">
        <v>13</v>
      </c>
      <c r="I397" s="86"/>
      <c r="J397" s="86"/>
      <c r="K397" s="87"/>
      <c r="L397" s="86"/>
      <c r="M397" s="86"/>
      <c r="N397" s="87"/>
      <c r="O397" s="86"/>
      <c r="P397" s="86"/>
      <c r="Q397" s="87"/>
    </row>
    <row r="398" spans="1:17" ht="45" customHeight="1">
      <c r="A398" s="81">
        <v>57</v>
      </c>
      <c r="B398" s="82"/>
      <c r="C398" s="104" t="s">
        <v>283</v>
      </c>
      <c r="D398" s="104" t="s">
        <v>165</v>
      </c>
      <c r="E398" s="84" t="s">
        <v>267</v>
      </c>
      <c r="F398" s="85"/>
      <c r="G398" s="85"/>
      <c r="H398" s="88"/>
      <c r="I398" s="86"/>
      <c r="J398" s="86"/>
      <c r="K398" s="87"/>
      <c r="L398" s="86"/>
      <c r="M398" s="86"/>
      <c r="N398" s="87"/>
      <c r="O398" s="86"/>
      <c r="P398" s="86"/>
      <c r="Q398" s="87"/>
    </row>
    <row r="399" spans="1:17" ht="14.45" customHeight="1">
      <c r="A399" s="81">
        <v>57</v>
      </c>
      <c r="B399" s="82"/>
      <c r="C399" s="104" t="s">
        <v>283</v>
      </c>
      <c r="D399" s="104" t="s">
        <v>165</v>
      </c>
      <c r="E399" s="84" t="s">
        <v>267</v>
      </c>
      <c r="F399" s="89">
        <v>59</v>
      </c>
      <c r="G399" s="85"/>
      <c r="H399" s="88"/>
      <c r="I399" s="86"/>
      <c r="J399" s="86"/>
      <c r="K399" s="87"/>
      <c r="L399" s="86"/>
      <c r="M399" s="86"/>
      <c r="N399" s="87"/>
      <c r="O399" s="86"/>
      <c r="P399" s="86"/>
      <c r="Q399" s="87"/>
    </row>
    <row r="400" spans="1:17" ht="24" customHeight="1">
      <c r="A400" s="91">
        <v>57</v>
      </c>
      <c r="B400" s="92"/>
      <c r="C400" s="105" t="s">
        <v>283</v>
      </c>
      <c r="D400" s="105" t="s">
        <v>165</v>
      </c>
      <c r="E400" s="94" t="s">
        <v>267</v>
      </c>
      <c r="F400" s="95" t="s">
        <v>56</v>
      </c>
      <c r="G400" s="96">
        <v>28400</v>
      </c>
      <c r="H400" s="97">
        <v>28400</v>
      </c>
      <c r="I400" s="98"/>
      <c r="J400" s="98"/>
      <c r="K400" s="99"/>
      <c r="L400" s="98"/>
      <c r="M400" s="98"/>
      <c r="N400" s="99"/>
      <c r="O400" s="98"/>
      <c r="P400" s="98"/>
      <c r="Q400" s="99"/>
    </row>
    <row r="401" spans="1:17" ht="14.45" customHeight="1">
      <c r="A401" s="75">
        <v>58</v>
      </c>
      <c r="B401" s="76"/>
      <c r="C401" s="103" t="s">
        <v>309</v>
      </c>
      <c r="D401" s="103" t="s">
        <v>165</v>
      </c>
      <c r="E401" s="78" t="s">
        <v>267</v>
      </c>
      <c r="F401" s="79" t="s">
        <v>50</v>
      </c>
      <c r="G401" s="79" t="s">
        <v>50</v>
      </c>
      <c r="H401" s="80" t="s">
        <v>50</v>
      </c>
      <c r="I401" s="79"/>
      <c r="J401" s="79"/>
      <c r="K401" s="80"/>
      <c r="L401" s="79"/>
      <c r="M401" s="79"/>
      <c r="N401" s="80"/>
      <c r="O401" s="79"/>
      <c r="P401" s="79"/>
      <c r="Q401" s="80"/>
    </row>
    <row r="402" spans="1:17" ht="60" customHeight="1">
      <c r="A402" s="81">
        <v>58</v>
      </c>
      <c r="B402" s="82"/>
      <c r="C402" s="104" t="s">
        <v>309</v>
      </c>
      <c r="D402" s="104" t="s">
        <v>165</v>
      </c>
      <c r="E402" s="84" t="s">
        <v>267</v>
      </c>
      <c r="F402" s="85"/>
      <c r="G402" s="86" t="s">
        <v>350</v>
      </c>
      <c r="H402" s="87" t="s">
        <v>350</v>
      </c>
      <c r="I402" s="86"/>
      <c r="J402" s="86"/>
      <c r="K402" s="87"/>
      <c r="L402" s="86"/>
      <c r="M402" s="86"/>
      <c r="N402" s="87"/>
      <c r="O402" s="86"/>
      <c r="P402" s="86"/>
      <c r="Q402" s="87"/>
    </row>
    <row r="403" spans="1:17" ht="45" customHeight="1">
      <c r="A403" s="81">
        <v>58</v>
      </c>
      <c r="B403" s="82"/>
      <c r="C403" s="104" t="s">
        <v>309</v>
      </c>
      <c r="D403" s="104" t="s">
        <v>165</v>
      </c>
      <c r="E403" s="84" t="s">
        <v>267</v>
      </c>
      <c r="F403" s="85"/>
      <c r="G403" s="85"/>
      <c r="H403" s="88"/>
      <c r="I403" s="86"/>
      <c r="J403" s="86"/>
      <c r="K403" s="87"/>
      <c r="L403" s="86"/>
      <c r="M403" s="86"/>
      <c r="N403" s="87"/>
      <c r="O403" s="86"/>
      <c r="P403" s="86"/>
      <c r="Q403" s="87"/>
    </row>
    <row r="404" spans="1:17" ht="14.45" customHeight="1">
      <c r="A404" s="81">
        <v>58</v>
      </c>
      <c r="B404" s="82"/>
      <c r="C404" s="104" t="s">
        <v>309</v>
      </c>
      <c r="D404" s="104" t="s">
        <v>165</v>
      </c>
      <c r="E404" s="84" t="s">
        <v>267</v>
      </c>
      <c r="F404" s="89">
        <v>73</v>
      </c>
      <c r="G404" s="89">
        <v>87</v>
      </c>
      <c r="H404" s="90">
        <v>13</v>
      </c>
      <c r="I404" s="86"/>
      <c r="J404" s="86"/>
      <c r="K404" s="87"/>
      <c r="L404" s="86"/>
      <c r="M404" s="86"/>
      <c r="N404" s="87"/>
      <c r="O404" s="86"/>
      <c r="P404" s="86"/>
      <c r="Q404" s="87"/>
    </row>
    <row r="405" spans="1:17" ht="45" customHeight="1">
      <c r="A405" s="81">
        <v>58</v>
      </c>
      <c r="B405" s="82"/>
      <c r="C405" s="104" t="s">
        <v>309</v>
      </c>
      <c r="D405" s="104" t="s">
        <v>165</v>
      </c>
      <c r="E405" s="84" t="s">
        <v>267</v>
      </c>
      <c r="F405" s="85"/>
      <c r="G405" s="85"/>
      <c r="H405" s="88"/>
      <c r="I405" s="86"/>
      <c r="J405" s="86"/>
      <c r="K405" s="87"/>
      <c r="L405" s="86"/>
      <c r="M405" s="86"/>
      <c r="N405" s="87"/>
      <c r="O405" s="86"/>
      <c r="P405" s="86"/>
      <c r="Q405" s="87"/>
    </row>
    <row r="406" spans="1:17" ht="14.45" customHeight="1">
      <c r="A406" s="81">
        <v>58</v>
      </c>
      <c r="B406" s="82"/>
      <c r="C406" s="104" t="s">
        <v>309</v>
      </c>
      <c r="D406" s="104" t="s">
        <v>165</v>
      </c>
      <c r="E406" s="84" t="s">
        <v>267</v>
      </c>
      <c r="F406" s="89">
        <v>59</v>
      </c>
      <c r="G406" s="85"/>
      <c r="H406" s="88"/>
      <c r="I406" s="86"/>
      <c r="J406" s="86"/>
      <c r="K406" s="87"/>
      <c r="L406" s="86"/>
      <c r="M406" s="86"/>
      <c r="N406" s="87"/>
      <c r="O406" s="86"/>
      <c r="P406" s="86"/>
      <c r="Q406" s="87"/>
    </row>
    <row r="407" spans="1:17" ht="24" customHeight="1">
      <c r="A407" s="91">
        <v>58</v>
      </c>
      <c r="B407" s="92"/>
      <c r="C407" s="105" t="s">
        <v>309</v>
      </c>
      <c r="D407" s="105" t="s">
        <v>165</v>
      </c>
      <c r="E407" s="94" t="s">
        <v>267</v>
      </c>
      <c r="F407" s="95" t="s">
        <v>56</v>
      </c>
      <c r="G407" s="96">
        <v>28400</v>
      </c>
      <c r="H407" s="97">
        <v>28400</v>
      </c>
      <c r="I407" s="98"/>
      <c r="J407" s="98"/>
      <c r="K407" s="99"/>
      <c r="L407" s="98"/>
      <c r="M407" s="98"/>
      <c r="N407" s="99"/>
      <c r="O407" s="98"/>
      <c r="P407" s="98"/>
      <c r="Q407" s="99"/>
    </row>
    <row r="408" spans="1:17" ht="14.45" customHeight="1">
      <c r="A408" s="75">
        <v>59</v>
      </c>
      <c r="B408" s="76"/>
      <c r="C408" s="103" t="s">
        <v>321</v>
      </c>
      <c r="D408" s="103" t="s">
        <v>165</v>
      </c>
      <c r="E408" s="78" t="s">
        <v>267</v>
      </c>
      <c r="F408" s="79" t="s">
        <v>50</v>
      </c>
      <c r="G408" s="79" t="s">
        <v>50</v>
      </c>
      <c r="H408" s="80" t="s">
        <v>50</v>
      </c>
      <c r="I408" s="79"/>
      <c r="J408" s="79"/>
      <c r="K408" s="80"/>
      <c r="L408" s="79"/>
      <c r="M408" s="79"/>
      <c r="N408" s="80"/>
      <c r="O408" s="79"/>
      <c r="P408" s="79"/>
      <c r="Q408" s="80"/>
    </row>
    <row r="409" spans="1:17" ht="60" customHeight="1">
      <c r="A409" s="81">
        <v>59</v>
      </c>
      <c r="B409" s="82"/>
      <c r="C409" s="104" t="s">
        <v>321</v>
      </c>
      <c r="D409" s="104" t="s">
        <v>165</v>
      </c>
      <c r="E409" s="84" t="s">
        <v>267</v>
      </c>
      <c r="F409" s="85"/>
      <c r="G409" s="86" t="s">
        <v>351</v>
      </c>
      <c r="H409" s="87" t="s">
        <v>351</v>
      </c>
      <c r="I409" s="86"/>
      <c r="J409" s="86"/>
      <c r="K409" s="87"/>
      <c r="L409" s="86"/>
      <c r="M409" s="86"/>
      <c r="N409" s="87"/>
      <c r="O409" s="86"/>
      <c r="P409" s="86"/>
      <c r="Q409" s="87"/>
    </row>
    <row r="410" spans="1:17" ht="45" customHeight="1">
      <c r="A410" s="81">
        <v>59</v>
      </c>
      <c r="B410" s="82"/>
      <c r="C410" s="104" t="s">
        <v>321</v>
      </c>
      <c r="D410" s="104" t="s">
        <v>165</v>
      </c>
      <c r="E410" s="84" t="s">
        <v>267</v>
      </c>
      <c r="F410" s="85"/>
      <c r="G410" s="85"/>
      <c r="H410" s="88"/>
      <c r="I410" s="86"/>
      <c r="J410" s="86"/>
      <c r="K410" s="87"/>
      <c r="L410" s="86"/>
      <c r="M410" s="86"/>
      <c r="N410" s="87"/>
      <c r="O410" s="86"/>
      <c r="P410" s="86"/>
      <c r="Q410" s="87"/>
    </row>
    <row r="411" spans="1:17" ht="14.45" customHeight="1">
      <c r="A411" s="81">
        <v>59</v>
      </c>
      <c r="B411" s="82"/>
      <c r="C411" s="104" t="s">
        <v>321</v>
      </c>
      <c r="D411" s="104" t="s">
        <v>165</v>
      </c>
      <c r="E411" s="84" t="s">
        <v>267</v>
      </c>
      <c r="F411" s="89">
        <v>73</v>
      </c>
      <c r="G411" s="89">
        <v>87</v>
      </c>
      <c r="H411" s="90">
        <v>13</v>
      </c>
      <c r="I411" s="86"/>
      <c r="J411" s="86"/>
      <c r="K411" s="87"/>
      <c r="L411" s="86"/>
      <c r="M411" s="86"/>
      <c r="N411" s="87"/>
      <c r="O411" s="86"/>
      <c r="P411" s="86"/>
      <c r="Q411" s="87"/>
    </row>
    <row r="412" spans="1:17" ht="45" customHeight="1">
      <c r="A412" s="81">
        <v>59</v>
      </c>
      <c r="B412" s="82"/>
      <c r="C412" s="104" t="s">
        <v>321</v>
      </c>
      <c r="D412" s="104" t="s">
        <v>165</v>
      </c>
      <c r="E412" s="84" t="s">
        <v>267</v>
      </c>
      <c r="F412" s="85"/>
      <c r="G412" s="85"/>
      <c r="H412" s="88"/>
      <c r="I412" s="86"/>
      <c r="J412" s="86"/>
      <c r="K412" s="87"/>
      <c r="L412" s="86"/>
      <c r="M412" s="86"/>
      <c r="N412" s="87"/>
      <c r="O412" s="86"/>
      <c r="P412" s="86"/>
      <c r="Q412" s="87"/>
    </row>
    <row r="413" spans="1:17" ht="14.45" customHeight="1">
      <c r="A413" s="81">
        <v>59</v>
      </c>
      <c r="B413" s="82"/>
      <c r="C413" s="104" t="s">
        <v>321</v>
      </c>
      <c r="D413" s="104" t="s">
        <v>165</v>
      </c>
      <c r="E413" s="84" t="s">
        <v>267</v>
      </c>
      <c r="F413" s="89">
        <v>59</v>
      </c>
      <c r="G413" s="85"/>
      <c r="H413" s="88"/>
      <c r="I413" s="86"/>
      <c r="J413" s="86"/>
      <c r="K413" s="87"/>
      <c r="L413" s="86"/>
      <c r="M413" s="86"/>
      <c r="N413" s="87"/>
      <c r="O413" s="86"/>
      <c r="P413" s="86"/>
      <c r="Q413" s="87"/>
    </row>
    <row r="414" spans="1:17" ht="24" customHeight="1">
      <c r="A414" s="91">
        <v>59</v>
      </c>
      <c r="B414" s="92"/>
      <c r="C414" s="105" t="s">
        <v>321</v>
      </c>
      <c r="D414" s="105" t="s">
        <v>165</v>
      </c>
      <c r="E414" s="94" t="s">
        <v>267</v>
      </c>
      <c r="F414" s="95" t="s">
        <v>56</v>
      </c>
      <c r="G414" s="96">
        <v>28400</v>
      </c>
      <c r="H414" s="97">
        <v>28400</v>
      </c>
      <c r="I414" s="98"/>
      <c r="J414" s="98"/>
      <c r="K414" s="99"/>
      <c r="L414" s="98"/>
      <c r="M414" s="98"/>
      <c r="N414" s="99"/>
      <c r="O414" s="98"/>
      <c r="P414" s="98"/>
      <c r="Q414" s="99"/>
    </row>
    <row r="415" spans="1:17" ht="14.45" customHeight="1">
      <c r="A415" s="75">
        <v>60</v>
      </c>
      <c r="B415" s="76"/>
      <c r="C415" s="103" t="s">
        <v>307</v>
      </c>
      <c r="D415" s="103" t="s">
        <v>165</v>
      </c>
      <c r="E415" s="78" t="s">
        <v>267</v>
      </c>
      <c r="F415" s="79" t="s">
        <v>50</v>
      </c>
      <c r="G415" s="79" t="s">
        <v>50</v>
      </c>
      <c r="H415" s="80" t="s">
        <v>50</v>
      </c>
      <c r="I415" s="79"/>
      <c r="J415" s="79"/>
      <c r="K415" s="80"/>
      <c r="L415" s="79"/>
      <c r="M415" s="79"/>
      <c r="N415" s="80"/>
      <c r="O415" s="79"/>
      <c r="P415" s="79"/>
      <c r="Q415" s="80"/>
    </row>
    <row r="416" spans="1:17" ht="60" customHeight="1">
      <c r="A416" s="81">
        <v>60</v>
      </c>
      <c r="B416" s="82"/>
      <c r="C416" s="104" t="s">
        <v>307</v>
      </c>
      <c r="D416" s="104" t="s">
        <v>165</v>
      </c>
      <c r="E416" s="84" t="s">
        <v>267</v>
      </c>
      <c r="F416" s="85"/>
      <c r="G416" s="86" t="s">
        <v>347</v>
      </c>
      <c r="H416" s="87" t="s">
        <v>347</v>
      </c>
      <c r="I416" s="86"/>
      <c r="J416" s="86"/>
      <c r="K416" s="87"/>
      <c r="L416" s="86"/>
      <c r="M416" s="86"/>
      <c r="N416" s="87"/>
      <c r="O416" s="86"/>
      <c r="P416" s="86"/>
      <c r="Q416" s="87"/>
    </row>
    <row r="417" spans="1:17" ht="45" customHeight="1">
      <c r="A417" s="81">
        <v>60</v>
      </c>
      <c r="B417" s="82"/>
      <c r="C417" s="104" t="s">
        <v>307</v>
      </c>
      <c r="D417" s="104" t="s">
        <v>165</v>
      </c>
      <c r="E417" s="84" t="s">
        <v>267</v>
      </c>
      <c r="F417" s="85"/>
      <c r="G417" s="85"/>
      <c r="H417" s="88"/>
      <c r="I417" s="86"/>
      <c r="J417" s="86"/>
      <c r="K417" s="87"/>
      <c r="L417" s="86"/>
      <c r="M417" s="86"/>
      <c r="N417" s="87"/>
      <c r="O417" s="86"/>
      <c r="P417" s="86"/>
      <c r="Q417" s="87"/>
    </row>
    <row r="418" spans="1:17" ht="14.45" customHeight="1">
      <c r="A418" s="81">
        <v>60</v>
      </c>
      <c r="B418" s="82"/>
      <c r="C418" s="104" t="s">
        <v>307</v>
      </c>
      <c r="D418" s="104" t="s">
        <v>165</v>
      </c>
      <c r="E418" s="84" t="s">
        <v>267</v>
      </c>
      <c r="F418" s="89">
        <v>91</v>
      </c>
      <c r="G418" s="89">
        <v>16</v>
      </c>
      <c r="H418" s="90">
        <v>74</v>
      </c>
      <c r="I418" s="86"/>
      <c r="J418" s="86"/>
      <c r="K418" s="87"/>
      <c r="L418" s="86"/>
      <c r="M418" s="86"/>
      <c r="N418" s="87"/>
      <c r="O418" s="86"/>
      <c r="P418" s="86"/>
      <c r="Q418" s="87"/>
    </row>
    <row r="419" spans="1:17" ht="45" customHeight="1">
      <c r="A419" s="81">
        <v>60</v>
      </c>
      <c r="B419" s="82"/>
      <c r="C419" s="104" t="s">
        <v>307</v>
      </c>
      <c r="D419" s="104" t="s">
        <v>165</v>
      </c>
      <c r="E419" s="84" t="s">
        <v>267</v>
      </c>
      <c r="F419" s="85"/>
      <c r="G419" s="85"/>
      <c r="H419" s="88"/>
      <c r="I419" s="86"/>
      <c r="J419" s="86"/>
      <c r="K419" s="87"/>
      <c r="L419" s="86"/>
      <c r="M419" s="86"/>
      <c r="N419" s="87"/>
      <c r="O419" s="86"/>
      <c r="P419" s="86"/>
      <c r="Q419" s="87"/>
    </row>
    <row r="420" spans="1:17" ht="14.45" customHeight="1">
      <c r="A420" s="81">
        <v>60</v>
      </c>
      <c r="B420" s="82"/>
      <c r="C420" s="104" t="s">
        <v>307</v>
      </c>
      <c r="D420" s="104" t="s">
        <v>165</v>
      </c>
      <c r="E420" s="84" t="s">
        <v>267</v>
      </c>
      <c r="F420" s="85"/>
      <c r="G420" s="85"/>
      <c r="H420" s="88"/>
      <c r="I420" s="86"/>
      <c r="J420" s="86"/>
      <c r="K420" s="87"/>
      <c r="L420" s="86"/>
      <c r="M420" s="86"/>
      <c r="N420" s="87"/>
      <c r="O420" s="86"/>
      <c r="P420" s="86"/>
      <c r="Q420" s="87"/>
    </row>
    <row r="421" spans="1:17" ht="24" customHeight="1">
      <c r="A421" s="91">
        <v>60</v>
      </c>
      <c r="B421" s="92"/>
      <c r="C421" s="105" t="s">
        <v>307</v>
      </c>
      <c r="D421" s="105" t="s">
        <v>165</v>
      </c>
      <c r="E421" s="94" t="s">
        <v>267</v>
      </c>
      <c r="F421" s="95" t="s">
        <v>56</v>
      </c>
      <c r="G421" s="96">
        <v>22200</v>
      </c>
      <c r="H421" s="97">
        <v>22200</v>
      </c>
      <c r="I421" s="98"/>
      <c r="J421" s="98"/>
      <c r="K421" s="99"/>
      <c r="L421" s="98"/>
      <c r="M421" s="98"/>
      <c r="N421" s="99"/>
      <c r="O421" s="98"/>
      <c r="P421" s="98"/>
      <c r="Q421" s="99"/>
    </row>
    <row r="422" spans="1:17" ht="14.45" customHeight="1">
      <c r="A422" s="75">
        <v>61</v>
      </c>
      <c r="B422" s="76"/>
      <c r="C422" s="103" t="s">
        <v>303</v>
      </c>
      <c r="D422" s="103" t="s">
        <v>165</v>
      </c>
      <c r="E422" s="78" t="s">
        <v>267</v>
      </c>
      <c r="F422" s="79" t="s">
        <v>50</v>
      </c>
      <c r="G422" s="79" t="s">
        <v>50</v>
      </c>
      <c r="H422" s="80" t="s">
        <v>50</v>
      </c>
      <c r="I422" s="79"/>
      <c r="J422" s="79"/>
      <c r="K422" s="80"/>
      <c r="L422" s="79"/>
      <c r="M422" s="79"/>
      <c r="N422" s="80"/>
      <c r="O422" s="79"/>
      <c r="P422" s="79"/>
      <c r="Q422" s="80"/>
    </row>
    <row r="423" spans="1:17" ht="60" customHeight="1">
      <c r="A423" s="81">
        <v>61</v>
      </c>
      <c r="B423" s="82"/>
      <c r="C423" s="104" t="s">
        <v>303</v>
      </c>
      <c r="D423" s="104" t="s">
        <v>165</v>
      </c>
      <c r="E423" s="84" t="s">
        <v>267</v>
      </c>
      <c r="F423" s="85"/>
      <c r="G423" s="86" t="s">
        <v>344</v>
      </c>
      <c r="H423" s="87" t="s">
        <v>344</v>
      </c>
      <c r="I423" s="86"/>
      <c r="J423" s="86"/>
      <c r="K423" s="87"/>
      <c r="L423" s="86"/>
      <c r="M423" s="86"/>
      <c r="N423" s="87"/>
      <c r="O423" s="86"/>
      <c r="P423" s="86"/>
      <c r="Q423" s="87"/>
    </row>
    <row r="424" spans="1:17" ht="45" customHeight="1">
      <c r="A424" s="81">
        <v>61</v>
      </c>
      <c r="B424" s="82"/>
      <c r="C424" s="104" t="s">
        <v>303</v>
      </c>
      <c r="D424" s="104" t="s">
        <v>165</v>
      </c>
      <c r="E424" s="84" t="s">
        <v>267</v>
      </c>
      <c r="F424" s="85"/>
      <c r="G424" s="85"/>
      <c r="H424" s="88"/>
      <c r="I424" s="86"/>
      <c r="J424" s="86"/>
      <c r="K424" s="87"/>
      <c r="L424" s="86"/>
      <c r="M424" s="86"/>
      <c r="N424" s="87"/>
      <c r="O424" s="86"/>
      <c r="P424" s="86"/>
      <c r="Q424" s="87"/>
    </row>
    <row r="425" spans="1:17" ht="14.45" customHeight="1">
      <c r="A425" s="81">
        <v>61</v>
      </c>
      <c r="B425" s="82"/>
      <c r="C425" s="104" t="s">
        <v>303</v>
      </c>
      <c r="D425" s="104" t="s">
        <v>165</v>
      </c>
      <c r="E425" s="84" t="s">
        <v>267</v>
      </c>
      <c r="F425" s="89">
        <v>91</v>
      </c>
      <c r="G425" s="89">
        <v>16</v>
      </c>
      <c r="H425" s="90">
        <v>74</v>
      </c>
      <c r="I425" s="86"/>
      <c r="J425" s="86"/>
      <c r="K425" s="87"/>
      <c r="L425" s="86"/>
      <c r="M425" s="86"/>
      <c r="N425" s="87"/>
      <c r="O425" s="86"/>
      <c r="P425" s="86"/>
      <c r="Q425" s="87"/>
    </row>
    <row r="426" spans="1:17" ht="45" customHeight="1">
      <c r="A426" s="81">
        <v>61</v>
      </c>
      <c r="B426" s="82"/>
      <c r="C426" s="104" t="s">
        <v>303</v>
      </c>
      <c r="D426" s="104" t="s">
        <v>165</v>
      </c>
      <c r="E426" s="84" t="s">
        <v>267</v>
      </c>
      <c r="F426" s="85"/>
      <c r="G426" s="85"/>
      <c r="H426" s="88"/>
      <c r="I426" s="86"/>
      <c r="J426" s="86"/>
      <c r="K426" s="87"/>
      <c r="L426" s="86"/>
      <c r="M426" s="86"/>
      <c r="N426" s="87"/>
      <c r="O426" s="86"/>
      <c r="P426" s="86"/>
      <c r="Q426" s="87"/>
    </row>
    <row r="427" spans="1:17" ht="14.45" customHeight="1">
      <c r="A427" s="81">
        <v>61</v>
      </c>
      <c r="B427" s="82"/>
      <c r="C427" s="104" t="s">
        <v>303</v>
      </c>
      <c r="D427" s="104" t="s">
        <v>165</v>
      </c>
      <c r="E427" s="84" t="s">
        <v>267</v>
      </c>
      <c r="F427" s="85"/>
      <c r="G427" s="85"/>
      <c r="H427" s="88"/>
      <c r="I427" s="86"/>
      <c r="J427" s="86"/>
      <c r="K427" s="87"/>
      <c r="L427" s="86"/>
      <c r="M427" s="86"/>
      <c r="N427" s="87"/>
      <c r="O427" s="86"/>
      <c r="P427" s="86"/>
      <c r="Q427" s="87"/>
    </row>
    <row r="428" spans="1:17" ht="24" customHeight="1">
      <c r="A428" s="91">
        <v>61</v>
      </c>
      <c r="B428" s="92"/>
      <c r="C428" s="105" t="s">
        <v>303</v>
      </c>
      <c r="D428" s="105" t="s">
        <v>165</v>
      </c>
      <c r="E428" s="94" t="s">
        <v>267</v>
      </c>
      <c r="F428" s="95" t="s">
        <v>56</v>
      </c>
      <c r="G428" s="96">
        <v>22200</v>
      </c>
      <c r="H428" s="97">
        <v>22200</v>
      </c>
      <c r="I428" s="98"/>
      <c r="J428" s="98"/>
      <c r="K428" s="99"/>
      <c r="L428" s="98"/>
      <c r="M428" s="98"/>
      <c r="N428" s="99"/>
      <c r="O428" s="98"/>
      <c r="P428" s="98"/>
      <c r="Q428" s="99"/>
    </row>
    <row r="429" spans="1:17" ht="14.45" customHeight="1">
      <c r="A429" s="75">
        <v>62</v>
      </c>
      <c r="B429" s="76"/>
      <c r="C429" s="103" t="s">
        <v>301</v>
      </c>
      <c r="D429" s="103" t="s">
        <v>165</v>
      </c>
      <c r="E429" s="78" t="s">
        <v>267</v>
      </c>
      <c r="F429" s="79" t="s">
        <v>50</v>
      </c>
      <c r="G429" s="79" t="s">
        <v>50</v>
      </c>
      <c r="H429" s="80" t="s">
        <v>50</v>
      </c>
      <c r="I429" s="79"/>
      <c r="J429" s="79"/>
      <c r="K429" s="80"/>
      <c r="L429" s="79"/>
      <c r="M429" s="79"/>
      <c r="N429" s="80"/>
      <c r="O429" s="79"/>
      <c r="P429" s="79"/>
      <c r="Q429" s="80"/>
    </row>
    <row r="430" spans="1:17" ht="60" customHeight="1">
      <c r="A430" s="81">
        <v>62</v>
      </c>
      <c r="B430" s="82"/>
      <c r="C430" s="104" t="s">
        <v>301</v>
      </c>
      <c r="D430" s="104" t="s">
        <v>165</v>
      </c>
      <c r="E430" s="84" t="s">
        <v>267</v>
      </c>
      <c r="F430" s="85"/>
      <c r="G430" s="86" t="s">
        <v>346</v>
      </c>
      <c r="H430" s="87" t="s">
        <v>346</v>
      </c>
      <c r="I430" s="86"/>
      <c r="J430" s="86"/>
      <c r="K430" s="87"/>
      <c r="L430" s="86"/>
      <c r="M430" s="86"/>
      <c r="N430" s="87"/>
      <c r="O430" s="86"/>
      <c r="P430" s="86"/>
      <c r="Q430" s="87"/>
    </row>
    <row r="431" spans="1:17" ht="45" customHeight="1">
      <c r="A431" s="81">
        <v>62</v>
      </c>
      <c r="B431" s="82"/>
      <c r="C431" s="104" t="s">
        <v>301</v>
      </c>
      <c r="D431" s="104" t="s">
        <v>165</v>
      </c>
      <c r="E431" s="84" t="s">
        <v>267</v>
      </c>
      <c r="F431" s="85"/>
      <c r="G431" s="85"/>
      <c r="H431" s="88"/>
      <c r="I431" s="86"/>
      <c r="J431" s="86"/>
      <c r="K431" s="87"/>
      <c r="L431" s="86"/>
      <c r="M431" s="86"/>
      <c r="N431" s="87"/>
      <c r="O431" s="86"/>
      <c r="P431" s="86"/>
      <c r="Q431" s="87"/>
    </row>
    <row r="432" spans="1:17" ht="14.45" customHeight="1">
      <c r="A432" s="81">
        <v>62</v>
      </c>
      <c r="B432" s="82"/>
      <c r="C432" s="104" t="s">
        <v>301</v>
      </c>
      <c r="D432" s="104" t="s">
        <v>165</v>
      </c>
      <c r="E432" s="84" t="s">
        <v>267</v>
      </c>
      <c r="F432" s="89">
        <v>91</v>
      </c>
      <c r="G432" s="89">
        <v>16</v>
      </c>
      <c r="H432" s="90">
        <v>74</v>
      </c>
      <c r="I432" s="86"/>
      <c r="J432" s="86"/>
      <c r="K432" s="87"/>
      <c r="L432" s="86"/>
      <c r="M432" s="86"/>
      <c r="N432" s="87"/>
      <c r="O432" s="86"/>
      <c r="P432" s="86"/>
      <c r="Q432" s="87"/>
    </row>
    <row r="433" spans="1:17" ht="45" customHeight="1">
      <c r="A433" s="81">
        <v>62</v>
      </c>
      <c r="B433" s="82"/>
      <c r="C433" s="104" t="s">
        <v>301</v>
      </c>
      <c r="D433" s="104" t="s">
        <v>165</v>
      </c>
      <c r="E433" s="84" t="s">
        <v>267</v>
      </c>
      <c r="F433" s="85"/>
      <c r="G433" s="85"/>
      <c r="H433" s="88"/>
      <c r="I433" s="86"/>
      <c r="J433" s="86"/>
      <c r="K433" s="87"/>
      <c r="L433" s="86"/>
      <c r="M433" s="86"/>
      <c r="N433" s="87"/>
      <c r="O433" s="86"/>
      <c r="P433" s="86"/>
      <c r="Q433" s="87"/>
    </row>
    <row r="434" spans="1:17" ht="14.45" customHeight="1">
      <c r="A434" s="81">
        <v>62</v>
      </c>
      <c r="B434" s="82"/>
      <c r="C434" s="104" t="s">
        <v>301</v>
      </c>
      <c r="D434" s="104" t="s">
        <v>165</v>
      </c>
      <c r="E434" s="84" t="s">
        <v>267</v>
      </c>
      <c r="F434" s="85"/>
      <c r="G434" s="85"/>
      <c r="H434" s="88"/>
      <c r="I434" s="86"/>
      <c r="J434" s="86"/>
      <c r="K434" s="87"/>
      <c r="L434" s="86"/>
      <c r="M434" s="86"/>
      <c r="N434" s="87"/>
      <c r="O434" s="86"/>
      <c r="P434" s="86"/>
      <c r="Q434" s="87"/>
    </row>
    <row r="435" spans="1:17" ht="24" customHeight="1">
      <c r="A435" s="91">
        <v>62</v>
      </c>
      <c r="B435" s="92"/>
      <c r="C435" s="105" t="s">
        <v>301</v>
      </c>
      <c r="D435" s="105" t="s">
        <v>165</v>
      </c>
      <c r="E435" s="94" t="s">
        <v>267</v>
      </c>
      <c r="F435" s="95" t="s">
        <v>56</v>
      </c>
      <c r="G435" s="96">
        <v>22200</v>
      </c>
      <c r="H435" s="97">
        <v>22200</v>
      </c>
      <c r="I435" s="98"/>
      <c r="J435" s="98"/>
      <c r="K435" s="99"/>
      <c r="L435" s="98"/>
      <c r="M435" s="98"/>
      <c r="N435" s="99"/>
      <c r="O435" s="98"/>
      <c r="P435" s="98"/>
      <c r="Q435" s="99"/>
    </row>
    <row r="436" spans="1:17" ht="14.45" customHeight="1">
      <c r="A436" s="75">
        <v>63</v>
      </c>
      <c r="B436" s="76"/>
      <c r="C436" s="103" t="s">
        <v>305</v>
      </c>
      <c r="D436" s="103" t="s">
        <v>165</v>
      </c>
      <c r="E436" s="78" t="s">
        <v>267</v>
      </c>
      <c r="F436" s="79" t="s">
        <v>50</v>
      </c>
      <c r="G436" s="79" t="s">
        <v>50</v>
      </c>
      <c r="H436" s="80" t="s">
        <v>50</v>
      </c>
      <c r="I436" s="79"/>
      <c r="J436" s="79"/>
      <c r="K436" s="80"/>
      <c r="L436" s="79"/>
      <c r="M436" s="79"/>
      <c r="N436" s="80"/>
      <c r="O436" s="79"/>
      <c r="P436" s="79"/>
      <c r="Q436" s="80"/>
    </row>
    <row r="437" spans="1:17" ht="60" customHeight="1">
      <c r="A437" s="81">
        <v>63</v>
      </c>
      <c r="B437" s="82"/>
      <c r="C437" s="104" t="s">
        <v>305</v>
      </c>
      <c r="D437" s="104" t="s">
        <v>165</v>
      </c>
      <c r="E437" s="84" t="s">
        <v>267</v>
      </c>
      <c r="F437" s="85"/>
      <c r="G437" s="86" t="s">
        <v>350</v>
      </c>
      <c r="H437" s="87" t="s">
        <v>350</v>
      </c>
      <c r="I437" s="86"/>
      <c r="J437" s="86"/>
      <c r="K437" s="87"/>
      <c r="L437" s="86"/>
      <c r="M437" s="86"/>
      <c r="N437" s="87"/>
      <c r="O437" s="86"/>
      <c r="P437" s="86"/>
      <c r="Q437" s="87"/>
    </row>
    <row r="438" spans="1:17" ht="45" customHeight="1">
      <c r="A438" s="81">
        <v>63</v>
      </c>
      <c r="B438" s="82"/>
      <c r="C438" s="104" t="s">
        <v>305</v>
      </c>
      <c r="D438" s="104" t="s">
        <v>165</v>
      </c>
      <c r="E438" s="84" t="s">
        <v>267</v>
      </c>
      <c r="F438" s="85"/>
      <c r="G438" s="85"/>
      <c r="H438" s="88"/>
      <c r="I438" s="86"/>
      <c r="J438" s="86"/>
      <c r="K438" s="87"/>
      <c r="L438" s="86"/>
      <c r="M438" s="86"/>
      <c r="N438" s="87"/>
      <c r="O438" s="86"/>
      <c r="P438" s="86"/>
      <c r="Q438" s="87"/>
    </row>
    <row r="439" spans="1:17" ht="14.45" customHeight="1">
      <c r="A439" s="81">
        <v>63</v>
      </c>
      <c r="B439" s="82"/>
      <c r="C439" s="104" t="s">
        <v>305</v>
      </c>
      <c r="D439" s="104" t="s">
        <v>165</v>
      </c>
      <c r="E439" s="84" t="s">
        <v>267</v>
      </c>
      <c r="F439" s="89">
        <v>91</v>
      </c>
      <c r="G439" s="89">
        <v>16</v>
      </c>
      <c r="H439" s="90">
        <v>74</v>
      </c>
      <c r="I439" s="86"/>
      <c r="J439" s="86"/>
      <c r="K439" s="87"/>
      <c r="L439" s="86"/>
      <c r="M439" s="86"/>
      <c r="N439" s="87"/>
      <c r="O439" s="86"/>
      <c r="P439" s="86"/>
      <c r="Q439" s="87"/>
    </row>
    <row r="440" spans="1:17" ht="45" customHeight="1">
      <c r="A440" s="81">
        <v>63</v>
      </c>
      <c r="B440" s="82"/>
      <c r="C440" s="104" t="s">
        <v>305</v>
      </c>
      <c r="D440" s="104" t="s">
        <v>165</v>
      </c>
      <c r="E440" s="84" t="s">
        <v>267</v>
      </c>
      <c r="F440" s="85"/>
      <c r="G440" s="85"/>
      <c r="H440" s="88"/>
      <c r="I440" s="86"/>
      <c r="J440" s="86"/>
      <c r="K440" s="87"/>
      <c r="L440" s="86"/>
      <c r="M440" s="86"/>
      <c r="N440" s="87"/>
      <c r="O440" s="86"/>
      <c r="P440" s="86"/>
      <c r="Q440" s="87"/>
    </row>
    <row r="441" spans="1:17" ht="14.45" customHeight="1">
      <c r="A441" s="81">
        <v>63</v>
      </c>
      <c r="B441" s="82"/>
      <c r="C441" s="104" t="s">
        <v>305</v>
      </c>
      <c r="D441" s="104" t="s">
        <v>165</v>
      </c>
      <c r="E441" s="84" t="s">
        <v>267</v>
      </c>
      <c r="F441" s="85"/>
      <c r="G441" s="85"/>
      <c r="H441" s="88"/>
      <c r="I441" s="86"/>
      <c r="J441" s="86"/>
      <c r="K441" s="87"/>
      <c r="L441" s="86"/>
      <c r="M441" s="86"/>
      <c r="N441" s="87"/>
      <c r="O441" s="86"/>
      <c r="P441" s="86"/>
      <c r="Q441" s="87"/>
    </row>
    <row r="442" spans="1:17" ht="24" customHeight="1">
      <c r="A442" s="91">
        <v>63</v>
      </c>
      <c r="B442" s="92"/>
      <c r="C442" s="105" t="s">
        <v>305</v>
      </c>
      <c r="D442" s="105" t="s">
        <v>165</v>
      </c>
      <c r="E442" s="94" t="s">
        <v>267</v>
      </c>
      <c r="F442" s="95" t="s">
        <v>56</v>
      </c>
      <c r="G442" s="96">
        <v>22200</v>
      </c>
      <c r="H442" s="97">
        <v>22200</v>
      </c>
      <c r="I442" s="98"/>
      <c r="J442" s="98"/>
      <c r="K442" s="99"/>
      <c r="L442" s="98"/>
      <c r="M442" s="98"/>
      <c r="N442" s="99"/>
      <c r="O442" s="98"/>
      <c r="P442" s="98"/>
      <c r="Q442" s="99"/>
    </row>
    <row r="443" spans="1:17" ht="14.45" customHeight="1">
      <c r="A443" s="75">
        <v>64</v>
      </c>
      <c r="B443" s="76"/>
      <c r="C443" s="103" t="s">
        <v>336</v>
      </c>
      <c r="D443" s="103" t="s">
        <v>165</v>
      </c>
      <c r="E443" s="78" t="s">
        <v>331</v>
      </c>
      <c r="F443" s="79" t="s">
        <v>50</v>
      </c>
      <c r="G443" s="79" t="s">
        <v>50</v>
      </c>
      <c r="H443" s="80" t="s">
        <v>50</v>
      </c>
      <c r="I443" s="79"/>
      <c r="J443" s="79"/>
      <c r="K443" s="80"/>
      <c r="L443" s="79"/>
      <c r="M443" s="79"/>
      <c r="N443" s="80"/>
      <c r="O443" s="79"/>
      <c r="P443" s="79"/>
      <c r="Q443" s="80"/>
    </row>
    <row r="444" spans="1:17" ht="60" customHeight="1">
      <c r="A444" s="81">
        <v>64</v>
      </c>
      <c r="B444" s="82"/>
      <c r="C444" s="104" t="s">
        <v>336</v>
      </c>
      <c r="D444" s="104" t="s">
        <v>165</v>
      </c>
      <c r="E444" s="84" t="s">
        <v>331</v>
      </c>
      <c r="F444" s="85"/>
      <c r="G444" s="86" t="s">
        <v>352</v>
      </c>
      <c r="H444" s="87" t="s">
        <v>352</v>
      </c>
      <c r="I444" s="86"/>
      <c r="J444" s="86"/>
      <c r="K444" s="87"/>
      <c r="L444" s="86"/>
      <c r="M444" s="86"/>
      <c r="N444" s="87"/>
      <c r="O444" s="86"/>
      <c r="P444" s="86"/>
      <c r="Q444" s="87"/>
    </row>
    <row r="445" spans="1:17" ht="45" customHeight="1">
      <c r="A445" s="81">
        <v>64</v>
      </c>
      <c r="B445" s="82"/>
      <c r="C445" s="104" t="s">
        <v>336</v>
      </c>
      <c r="D445" s="104" t="s">
        <v>165</v>
      </c>
      <c r="E445" s="84" t="s">
        <v>331</v>
      </c>
      <c r="F445" s="85"/>
      <c r="G445" s="85"/>
      <c r="H445" s="88"/>
      <c r="I445" s="86"/>
      <c r="J445" s="86"/>
      <c r="K445" s="87"/>
      <c r="L445" s="86"/>
      <c r="M445" s="86"/>
      <c r="N445" s="87"/>
      <c r="O445" s="86"/>
      <c r="P445" s="86"/>
      <c r="Q445" s="87"/>
    </row>
    <row r="446" spans="1:17" ht="14.45" customHeight="1">
      <c r="A446" s="81">
        <v>64</v>
      </c>
      <c r="B446" s="82"/>
      <c r="C446" s="104" t="s">
        <v>336</v>
      </c>
      <c r="D446" s="104" t="s">
        <v>165</v>
      </c>
      <c r="E446" s="84" t="s">
        <v>331</v>
      </c>
      <c r="F446" s="89">
        <v>46</v>
      </c>
      <c r="G446" s="89">
        <v>71</v>
      </c>
      <c r="H446" s="90">
        <v>10</v>
      </c>
      <c r="I446" s="86"/>
      <c r="J446" s="86"/>
      <c r="K446" s="87"/>
      <c r="L446" s="86"/>
      <c r="M446" s="86"/>
      <c r="N446" s="87"/>
      <c r="O446" s="86"/>
      <c r="P446" s="86"/>
      <c r="Q446" s="87"/>
    </row>
    <row r="447" spans="1:17" ht="45" customHeight="1">
      <c r="A447" s="81">
        <v>64</v>
      </c>
      <c r="B447" s="82"/>
      <c r="C447" s="104" t="s">
        <v>336</v>
      </c>
      <c r="D447" s="104" t="s">
        <v>165</v>
      </c>
      <c r="E447" s="84" t="s">
        <v>331</v>
      </c>
      <c r="F447" s="85"/>
      <c r="G447" s="85"/>
      <c r="H447" s="88"/>
      <c r="I447" s="86"/>
      <c r="J447" s="86"/>
      <c r="K447" s="87"/>
      <c r="L447" s="86"/>
      <c r="M447" s="86"/>
      <c r="N447" s="87"/>
      <c r="O447" s="86"/>
      <c r="P447" s="86"/>
      <c r="Q447" s="87"/>
    </row>
    <row r="448" spans="1:17" ht="14.45" customHeight="1">
      <c r="A448" s="81">
        <v>64</v>
      </c>
      <c r="B448" s="82"/>
      <c r="C448" s="104" t="s">
        <v>336</v>
      </c>
      <c r="D448" s="104" t="s">
        <v>165</v>
      </c>
      <c r="E448" s="84" t="s">
        <v>331</v>
      </c>
      <c r="F448" s="89">
        <v>48</v>
      </c>
      <c r="G448" s="85"/>
      <c r="H448" s="88"/>
      <c r="I448" s="86"/>
      <c r="J448" s="86"/>
      <c r="K448" s="87"/>
      <c r="L448" s="86"/>
      <c r="M448" s="86"/>
      <c r="N448" s="87"/>
      <c r="O448" s="86"/>
      <c r="P448" s="86"/>
      <c r="Q448" s="87"/>
    </row>
    <row r="449" spans="1:17" ht="24" customHeight="1">
      <c r="A449" s="91">
        <v>64</v>
      </c>
      <c r="B449" s="92"/>
      <c r="C449" s="105" t="s">
        <v>336</v>
      </c>
      <c r="D449" s="105" t="s">
        <v>165</v>
      </c>
      <c r="E449" s="94" t="s">
        <v>331</v>
      </c>
      <c r="F449" s="95" t="s">
        <v>56</v>
      </c>
      <c r="G449" s="96">
        <v>21800</v>
      </c>
      <c r="H449" s="97">
        <v>21800</v>
      </c>
      <c r="I449" s="98"/>
      <c r="J449" s="98"/>
      <c r="K449" s="99"/>
      <c r="L449" s="98"/>
      <c r="M449" s="98"/>
      <c r="N449" s="99"/>
      <c r="O449" s="98"/>
      <c r="P449" s="98"/>
      <c r="Q449" s="99"/>
    </row>
    <row r="450" spans="1:17" ht="14.45" customHeight="1">
      <c r="A450" s="75">
        <v>65</v>
      </c>
      <c r="B450" s="76"/>
      <c r="C450" s="103" t="s">
        <v>332</v>
      </c>
      <c r="D450" s="103" t="s">
        <v>165</v>
      </c>
      <c r="E450" s="78" t="s">
        <v>331</v>
      </c>
      <c r="F450" s="79" t="s">
        <v>50</v>
      </c>
      <c r="G450" s="79" t="s">
        <v>50</v>
      </c>
      <c r="H450" s="80" t="s">
        <v>50</v>
      </c>
      <c r="I450" s="79"/>
      <c r="J450" s="79"/>
      <c r="K450" s="80"/>
      <c r="L450" s="79"/>
      <c r="M450" s="79"/>
      <c r="N450" s="80"/>
      <c r="O450" s="79"/>
      <c r="P450" s="79"/>
      <c r="Q450" s="80"/>
    </row>
    <row r="451" spans="1:17" ht="60" customHeight="1">
      <c r="A451" s="81">
        <v>65</v>
      </c>
      <c r="B451" s="82"/>
      <c r="C451" s="104" t="s">
        <v>332</v>
      </c>
      <c r="D451" s="104" t="s">
        <v>165</v>
      </c>
      <c r="E451" s="84" t="s">
        <v>331</v>
      </c>
      <c r="F451" s="85"/>
      <c r="G451" s="86" t="s">
        <v>353</v>
      </c>
      <c r="H451" s="87" t="s">
        <v>353</v>
      </c>
      <c r="I451" s="86"/>
      <c r="J451" s="86"/>
      <c r="K451" s="87"/>
      <c r="L451" s="86"/>
      <c r="M451" s="86"/>
      <c r="N451" s="87"/>
      <c r="O451" s="86"/>
      <c r="P451" s="86"/>
      <c r="Q451" s="87"/>
    </row>
    <row r="452" spans="1:17" ht="45" customHeight="1">
      <c r="A452" s="81">
        <v>65</v>
      </c>
      <c r="B452" s="82"/>
      <c r="C452" s="104" t="s">
        <v>332</v>
      </c>
      <c r="D452" s="104" t="s">
        <v>165</v>
      </c>
      <c r="E452" s="84" t="s">
        <v>331</v>
      </c>
      <c r="F452" s="85"/>
      <c r="G452" s="85"/>
      <c r="H452" s="88"/>
      <c r="I452" s="86"/>
      <c r="J452" s="86"/>
      <c r="K452" s="87"/>
      <c r="L452" s="86"/>
      <c r="M452" s="86"/>
      <c r="N452" s="87"/>
      <c r="O452" s="86"/>
      <c r="P452" s="86"/>
      <c r="Q452" s="87"/>
    </row>
    <row r="453" spans="1:17" ht="14.45" customHeight="1">
      <c r="A453" s="81">
        <v>65</v>
      </c>
      <c r="B453" s="82"/>
      <c r="C453" s="104" t="s">
        <v>332</v>
      </c>
      <c r="D453" s="104" t="s">
        <v>165</v>
      </c>
      <c r="E453" s="84" t="s">
        <v>331</v>
      </c>
      <c r="F453" s="89">
        <v>46</v>
      </c>
      <c r="G453" s="89">
        <v>71</v>
      </c>
      <c r="H453" s="90">
        <v>10</v>
      </c>
      <c r="I453" s="86"/>
      <c r="J453" s="86"/>
      <c r="K453" s="87"/>
      <c r="L453" s="86"/>
      <c r="M453" s="86"/>
      <c r="N453" s="87"/>
      <c r="O453" s="86"/>
      <c r="P453" s="86"/>
      <c r="Q453" s="87"/>
    </row>
    <row r="454" spans="1:17" ht="45" customHeight="1">
      <c r="A454" s="81">
        <v>65</v>
      </c>
      <c r="B454" s="82"/>
      <c r="C454" s="104" t="s">
        <v>332</v>
      </c>
      <c r="D454" s="104" t="s">
        <v>165</v>
      </c>
      <c r="E454" s="84" t="s">
        <v>331</v>
      </c>
      <c r="F454" s="85"/>
      <c r="G454" s="85"/>
      <c r="H454" s="88"/>
      <c r="I454" s="86"/>
      <c r="J454" s="86"/>
      <c r="K454" s="87"/>
      <c r="L454" s="86"/>
      <c r="M454" s="86"/>
      <c r="N454" s="87"/>
      <c r="O454" s="86"/>
      <c r="P454" s="86"/>
      <c r="Q454" s="87"/>
    </row>
    <row r="455" spans="1:17" ht="14.45" customHeight="1">
      <c r="A455" s="81">
        <v>65</v>
      </c>
      <c r="B455" s="82"/>
      <c r="C455" s="104" t="s">
        <v>332</v>
      </c>
      <c r="D455" s="104" t="s">
        <v>165</v>
      </c>
      <c r="E455" s="84" t="s">
        <v>331</v>
      </c>
      <c r="F455" s="89">
        <v>48</v>
      </c>
      <c r="G455" s="85"/>
      <c r="H455" s="88"/>
      <c r="I455" s="86"/>
      <c r="J455" s="86"/>
      <c r="K455" s="87"/>
      <c r="L455" s="86"/>
      <c r="M455" s="86"/>
      <c r="N455" s="87"/>
      <c r="O455" s="86"/>
      <c r="P455" s="86"/>
      <c r="Q455" s="87"/>
    </row>
    <row r="456" spans="1:17" ht="24" customHeight="1">
      <c r="A456" s="91">
        <v>65</v>
      </c>
      <c r="B456" s="92"/>
      <c r="C456" s="105" t="s">
        <v>332</v>
      </c>
      <c r="D456" s="105" t="s">
        <v>165</v>
      </c>
      <c r="E456" s="94" t="s">
        <v>331</v>
      </c>
      <c r="F456" s="95" t="s">
        <v>56</v>
      </c>
      <c r="G456" s="96">
        <v>21800</v>
      </c>
      <c r="H456" s="97">
        <v>21800</v>
      </c>
      <c r="I456" s="98"/>
      <c r="J456" s="98"/>
      <c r="K456" s="99"/>
      <c r="L456" s="98"/>
      <c r="M456" s="98"/>
      <c r="N456" s="99"/>
      <c r="O456" s="98"/>
      <c r="P456" s="98"/>
      <c r="Q456" s="99"/>
    </row>
    <row r="457" spans="1:17" ht="14.45" customHeight="1">
      <c r="A457" s="75">
        <v>66</v>
      </c>
      <c r="B457" s="76"/>
      <c r="C457" s="103" t="s">
        <v>334</v>
      </c>
      <c r="D457" s="103" t="s">
        <v>165</v>
      </c>
      <c r="E457" s="78" t="s">
        <v>331</v>
      </c>
      <c r="F457" s="79" t="s">
        <v>50</v>
      </c>
      <c r="G457" s="79" t="s">
        <v>50</v>
      </c>
      <c r="H457" s="80" t="s">
        <v>50</v>
      </c>
      <c r="I457" s="79"/>
      <c r="J457" s="79"/>
      <c r="K457" s="80"/>
      <c r="L457" s="79"/>
      <c r="M457" s="79"/>
      <c r="N457" s="80"/>
      <c r="O457" s="79"/>
      <c r="P457" s="79"/>
      <c r="Q457" s="80"/>
    </row>
    <row r="458" spans="1:17" ht="60" customHeight="1">
      <c r="A458" s="81">
        <v>66</v>
      </c>
      <c r="B458" s="82"/>
      <c r="C458" s="104" t="s">
        <v>334</v>
      </c>
      <c r="D458" s="104" t="s">
        <v>165</v>
      </c>
      <c r="E458" s="84" t="s">
        <v>331</v>
      </c>
      <c r="F458" s="85"/>
      <c r="G458" s="86" t="s">
        <v>354</v>
      </c>
      <c r="H458" s="87" t="s">
        <v>354</v>
      </c>
      <c r="I458" s="86"/>
      <c r="J458" s="86"/>
      <c r="K458" s="87"/>
      <c r="L458" s="86"/>
      <c r="M458" s="86"/>
      <c r="N458" s="87"/>
      <c r="O458" s="86"/>
      <c r="P458" s="86"/>
      <c r="Q458" s="87"/>
    </row>
    <row r="459" spans="1:17" ht="45" customHeight="1">
      <c r="A459" s="81">
        <v>66</v>
      </c>
      <c r="B459" s="82"/>
      <c r="C459" s="104" t="s">
        <v>334</v>
      </c>
      <c r="D459" s="104" t="s">
        <v>165</v>
      </c>
      <c r="E459" s="84" t="s">
        <v>331</v>
      </c>
      <c r="F459" s="85"/>
      <c r="G459" s="85"/>
      <c r="H459" s="88"/>
      <c r="I459" s="86"/>
      <c r="J459" s="86"/>
      <c r="K459" s="87"/>
      <c r="L459" s="86"/>
      <c r="M459" s="86"/>
      <c r="N459" s="87"/>
      <c r="O459" s="86"/>
      <c r="P459" s="86"/>
      <c r="Q459" s="87"/>
    </row>
    <row r="460" spans="1:17" ht="14.45" customHeight="1">
      <c r="A460" s="81">
        <v>66</v>
      </c>
      <c r="B460" s="82"/>
      <c r="C460" s="104" t="s">
        <v>334</v>
      </c>
      <c r="D460" s="104" t="s">
        <v>165</v>
      </c>
      <c r="E460" s="84" t="s">
        <v>331</v>
      </c>
      <c r="F460" s="89">
        <v>46</v>
      </c>
      <c r="G460" s="89">
        <v>71</v>
      </c>
      <c r="H460" s="90">
        <v>10</v>
      </c>
      <c r="I460" s="86"/>
      <c r="J460" s="86"/>
      <c r="K460" s="87"/>
      <c r="L460" s="86"/>
      <c r="M460" s="86"/>
      <c r="N460" s="87"/>
      <c r="O460" s="86"/>
      <c r="P460" s="86"/>
      <c r="Q460" s="87"/>
    </row>
    <row r="461" spans="1:17" ht="45" customHeight="1">
      <c r="A461" s="81">
        <v>66</v>
      </c>
      <c r="B461" s="82"/>
      <c r="C461" s="104" t="s">
        <v>334</v>
      </c>
      <c r="D461" s="104" t="s">
        <v>165</v>
      </c>
      <c r="E461" s="84" t="s">
        <v>331</v>
      </c>
      <c r="F461" s="85"/>
      <c r="G461" s="85"/>
      <c r="H461" s="88"/>
      <c r="I461" s="86"/>
      <c r="J461" s="86"/>
      <c r="K461" s="87"/>
      <c r="L461" s="86"/>
      <c r="M461" s="86"/>
      <c r="N461" s="87"/>
      <c r="O461" s="86"/>
      <c r="P461" s="86"/>
      <c r="Q461" s="87"/>
    </row>
    <row r="462" spans="1:17" ht="14.45" customHeight="1">
      <c r="A462" s="81">
        <v>66</v>
      </c>
      <c r="B462" s="82"/>
      <c r="C462" s="104" t="s">
        <v>334</v>
      </c>
      <c r="D462" s="104" t="s">
        <v>165</v>
      </c>
      <c r="E462" s="84" t="s">
        <v>331</v>
      </c>
      <c r="F462" s="89">
        <v>48</v>
      </c>
      <c r="G462" s="85"/>
      <c r="H462" s="88"/>
      <c r="I462" s="86"/>
      <c r="J462" s="86"/>
      <c r="K462" s="87"/>
      <c r="L462" s="86"/>
      <c r="M462" s="86"/>
      <c r="N462" s="87"/>
      <c r="O462" s="86"/>
      <c r="P462" s="86"/>
      <c r="Q462" s="87"/>
    </row>
    <row r="463" spans="1:17" ht="24" customHeight="1">
      <c r="A463" s="91">
        <v>66</v>
      </c>
      <c r="B463" s="92"/>
      <c r="C463" s="105" t="s">
        <v>334</v>
      </c>
      <c r="D463" s="105" t="s">
        <v>165</v>
      </c>
      <c r="E463" s="94" t="s">
        <v>331</v>
      </c>
      <c r="F463" s="95" t="s">
        <v>56</v>
      </c>
      <c r="G463" s="96">
        <v>21800</v>
      </c>
      <c r="H463" s="97">
        <v>21800</v>
      </c>
      <c r="I463" s="98"/>
      <c r="J463" s="98"/>
      <c r="K463" s="99"/>
      <c r="L463" s="98"/>
      <c r="M463" s="98"/>
      <c r="N463" s="99"/>
      <c r="O463" s="98"/>
      <c r="P463" s="98"/>
      <c r="Q463" s="99"/>
    </row>
    <row r="464" spans="1:17" ht="14.45" customHeight="1">
      <c r="A464" s="75">
        <v>67</v>
      </c>
      <c r="B464" s="76"/>
      <c r="C464" s="103" t="s">
        <v>329</v>
      </c>
      <c r="D464" s="103" t="s">
        <v>165</v>
      </c>
      <c r="E464" s="78" t="s">
        <v>286</v>
      </c>
      <c r="F464" s="79" t="s">
        <v>50</v>
      </c>
      <c r="G464" s="79" t="s">
        <v>50</v>
      </c>
      <c r="H464" s="80" t="s">
        <v>50</v>
      </c>
      <c r="I464" s="79"/>
      <c r="J464" s="79"/>
      <c r="K464" s="80"/>
      <c r="L464" s="79"/>
      <c r="M464" s="79"/>
      <c r="N464" s="80"/>
      <c r="O464" s="79"/>
      <c r="P464" s="79"/>
      <c r="Q464" s="80"/>
    </row>
    <row r="465" spans="1:17" ht="60" customHeight="1">
      <c r="A465" s="81">
        <v>67</v>
      </c>
      <c r="B465" s="82"/>
      <c r="C465" s="104" t="s">
        <v>329</v>
      </c>
      <c r="D465" s="104" t="s">
        <v>165</v>
      </c>
      <c r="E465" s="84" t="s">
        <v>286</v>
      </c>
      <c r="F465" s="85"/>
      <c r="G465" s="86" t="s">
        <v>355</v>
      </c>
      <c r="H465" s="87" t="s">
        <v>355</v>
      </c>
      <c r="I465" s="86"/>
      <c r="J465" s="86"/>
      <c r="K465" s="87"/>
      <c r="L465" s="86"/>
      <c r="M465" s="86"/>
      <c r="N465" s="87"/>
      <c r="O465" s="86"/>
      <c r="P465" s="86"/>
      <c r="Q465" s="87"/>
    </row>
    <row r="466" spans="1:17" ht="45" customHeight="1">
      <c r="A466" s="81">
        <v>67</v>
      </c>
      <c r="B466" s="82"/>
      <c r="C466" s="104" t="s">
        <v>329</v>
      </c>
      <c r="D466" s="104" t="s">
        <v>165</v>
      </c>
      <c r="E466" s="84" t="s">
        <v>286</v>
      </c>
      <c r="F466" s="85"/>
      <c r="G466" s="85"/>
      <c r="H466" s="88"/>
      <c r="I466" s="86"/>
      <c r="J466" s="86"/>
      <c r="K466" s="87"/>
      <c r="L466" s="86"/>
      <c r="M466" s="86"/>
      <c r="N466" s="87"/>
      <c r="O466" s="86"/>
      <c r="P466" s="86"/>
      <c r="Q466" s="87"/>
    </row>
    <row r="467" spans="1:17" ht="14.45" customHeight="1">
      <c r="A467" s="81">
        <v>67</v>
      </c>
      <c r="B467" s="82"/>
      <c r="C467" s="104" t="s">
        <v>329</v>
      </c>
      <c r="D467" s="104" t="s">
        <v>165</v>
      </c>
      <c r="E467" s="84" t="s">
        <v>286</v>
      </c>
      <c r="F467" s="89">
        <v>30</v>
      </c>
      <c r="G467" s="89">
        <v>71</v>
      </c>
      <c r="H467" s="90">
        <v>16</v>
      </c>
      <c r="I467" s="86"/>
      <c r="J467" s="86"/>
      <c r="K467" s="87"/>
      <c r="L467" s="86"/>
      <c r="M467" s="86"/>
      <c r="N467" s="87"/>
      <c r="O467" s="86"/>
      <c r="P467" s="86"/>
      <c r="Q467" s="87"/>
    </row>
    <row r="468" spans="1:17" ht="45" customHeight="1">
      <c r="A468" s="81">
        <v>67</v>
      </c>
      <c r="B468" s="82"/>
      <c r="C468" s="104" t="s">
        <v>329</v>
      </c>
      <c r="D468" s="104" t="s">
        <v>165</v>
      </c>
      <c r="E468" s="84" t="s">
        <v>286</v>
      </c>
      <c r="F468" s="85"/>
      <c r="G468" s="85"/>
      <c r="H468" s="88"/>
      <c r="I468" s="86"/>
      <c r="J468" s="86"/>
      <c r="K468" s="87"/>
      <c r="L468" s="86"/>
      <c r="M468" s="86"/>
      <c r="N468" s="87"/>
      <c r="O468" s="86"/>
      <c r="P468" s="86"/>
      <c r="Q468" s="87"/>
    </row>
    <row r="469" spans="1:17" ht="14.45" customHeight="1">
      <c r="A469" s="81">
        <v>67</v>
      </c>
      <c r="B469" s="82"/>
      <c r="C469" s="104" t="s">
        <v>329</v>
      </c>
      <c r="D469" s="104" t="s">
        <v>165</v>
      </c>
      <c r="E469" s="84" t="s">
        <v>286</v>
      </c>
      <c r="F469" s="89">
        <v>48</v>
      </c>
      <c r="G469" s="85"/>
      <c r="H469" s="88"/>
      <c r="I469" s="86"/>
      <c r="J469" s="86"/>
      <c r="K469" s="87"/>
      <c r="L469" s="86"/>
      <c r="M469" s="86"/>
      <c r="N469" s="87"/>
      <c r="O469" s="86"/>
      <c r="P469" s="86"/>
      <c r="Q469" s="87"/>
    </row>
    <row r="470" spans="1:17" ht="24" customHeight="1">
      <c r="A470" s="91">
        <v>67</v>
      </c>
      <c r="B470" s="92"/>
      <c r="C470" s="105" t="s">
        <v>329</v>
      </c>
      <c r="D470" s="105" t="s">
        <v>165</v>
      </c>
      <c r="E470" s="94" t="s">
        <v>286</v>
      </c>
      <c r="F470" s="95" t="s">
        <v>56</v>
      </c>
      <c r="G470" s="96">
        <v>22200</v>
      </c>
      <c r="H470" s="97">
        <v>22200</v>
      </c>
      <c r="I470" s="98"/>
      <c r="J470" s="98"/>
      <c r="K470" s="99"/>
      <c r="L470" s="98"/>
      <c r="M470" s="98"/>
      <c r="N470" s="99"/>
      <c r="O470" s="98"/>
      <c r="P470" s="98"/>
      <c r="Q470" s="99"/>
    </row>
    <row r="471" spans="1:17" ht="14.45" customHeight="1">
      <c r="A471" s="75">
        <v>68</v>
      </c>
      <c r="B471" s="76"/>
      <c r="C471" s="103" t="s">
        <v>356</v>
      </c>
      <c r="D471" s="103" t="s">
        <v>165</v>
      </c>
      <c r="E471" s="78" t="s">
        <v>341</v>
      </c>
      <c r="F471" s="79" t="s">
        <v>50</v>
      </c>
      <c r="G471" s="79" t="s">
        <v>50</v>
      </c>
      <c r="H471" s="80" t="s">
        <v>50</v>
      </c>
      <c r="I471" s="79"/>
      <c r="J471" s="79"/>
      <c r="K471" s="80"/>
      <c r="L471" s="79"/>
      <c r="M471" s="79"/>
      <c r="N471" s="80"/>
      <c r="O471" s="79"/>
      <c r="P471" s="79"/>
      <c r="Q471" s="80"/>
    </row>
    <row r="472" spans="1:17" ht="60" customHeight="1">
      <c r="A472" s="81">
        <v>68</v>
      </c>
      <c r="B472" s="82"/>
      <c r="C472" s="104" t="s">
        <v>356</v>
      </c>
      <c r="D472" s="104" t="s">
        <v>165</v>
      </c>
      <c r="E472" s="84" t="s">
        <v>341</v>
      </c>
      <c r="F472" s="85"/>
      <c r="G472" s="86"/>
      <c r="H472" s="87"/>
      <c r="I472" s="86"/>
      <c r="J472" s="86"/>
      <c r="K472" s="87"/>
      <c r="L472" s="86"/>
      <c r="M472" s="86"/>
      <c r="N472" s="87"/>
      <c r="O472" s="86"/>
      <c r="P472" s="86"/>
      <c r="Q472" s="87"/>
    </row>
    <row r="473" spans="1:17" ht="45" customHeight="1">
      <c r="A473" s="81">
        <v>68</v>
      </c>
      <c r="B473" s="82"/>
      <c r="C473" s="104" t="s">
        <v>356</v>
      </c>
      <c r="D473" s="104" t="s">
        <v>165</v>
      </c>
      <c r="E473" s="84" t="s">
        <v>341</v>
      </c>
      <c r="F473" s="85"/>
      <c r="G473" s="85"/>
      <c r="H473" s="88"/>
      <c r="I473" s="86"/>
      <c r="J473" s="86"/>
      <c r="K473" s="87"/>
      <c r="L473" s="86"/>
      <c r="M473" s="86"/>
      <c r="N473" s="87"/>
      <c r="O473" s="86"/>
      <c r="P473" s="86"/>
      <c r="Q473" s="87"/>
    </row>
    <row r="474" spans="1:17" ht="14.45" customHeight="1">
      <c r="A474" s="81">
        <v>68</v>
      </c>
      <c r="B474" s="82"/>
      <c r="C474" s="104" t="s">
        <v>356</v>
      </c>
      <c r="D474" s="104" t="s">
        <v>165</v>
      </c>
      <c r="E474" s="84" t="s">
        <v>341</v>
      </c>
      <c r="F474" s="89">
        <v>31</v>
      </c>
      <c r="G474" s="89">
        <v>61</v>
      </c>
      <c r="H474" s="90">
        <v>9</v>
      </c>
      <c r="I474" s="86"/>
      <c r="J474" s="86"/>
      <c r="K474" s="87"/>
      <c r="L474" s="86"/>
      <c r="M474" s="86"/>
      <c r="N474" s="87"/>
      <c r="O474" s="86"/>
      <c r="P474" s="86"/>
      <c r="Q474" s="87"/>
    </row>
    <row r="475" spans="1:17" ht="45" customHeight="1">
      <c r="A475" s="81">
        <v>68</v>
      </c>
      <c r="B475" s="82"/>
      <c r="C475" s="104" t="s">
        <v>356</v>
      </c>
      <c r="D475" s="104" t="s">
        <v>165</v>
      </c>
      <c r="E475" s="84" t="s">
        <v>341</v>
      </c>
      <c r="F475" s="85"/>
      <c r="G475" s="85"/>
      <c r="H475" s="88"/>
      <c r="I475" s="86"/>
      <c r="J475" s="86"/>
      <c r="K475" s="87"/>
      <c r="L475" s="86"/>
      <c r="M475" s="86"/>
      <c r="N475" s="87"/>
      <c r="O475" s="86"/>
      <c r="P475" s="86"/>
      <c r="Q475" s="87"/>
    </row>
    <row r="476" spans="1:17" ht="14.45" customHeight="1">
      <c r="A476" s="81">
        <v>68</v>
      </c>
      <c r="B476" s="82"/>
      <c r="C476" s="104" t="s">
        <v>356</v>
      </c>
      <c r="D476" s="104" t="s">
        <v>165</v>
      </c>
      <c r="E476" s="84" t="s">
        <v>341</v>
      </c>
      <c r="F476" s="89">
        <v>47</v>
      </c>
      <c r="G476" s="85"/>
      <c r="H476" s="88"/>
      <c r="I476" s="86"/>
      <c r="J476" s="86"/>
      <c r="K476" s="87"/>
      <c r="L476" s="86"/>
      <c r="M476" s="86"/>
      <c r="N476" s="87"/>
      <c r="O476" s="86"/>
      <c r="P476" s="86"/>
      <c r="Q476" s="87"/>
    </row>
    <row r="477" spans="1:17" ht="24" customHeight="1">
      <c r="A477" s="91">
        <v>68</v>
      </c>
      <c r="B477" s="92"/>
      <c r="C477" s="105" t="s">
        <v>356</v>
      </c>
      <c r="D477" s="105" t="s">
        <v>165</v>
      </c>
      <c r="E477" s="94" t="s">
        <v>341</v>
      </c>
      <c r="F477" s="95" t="s">
        <v>56</v>
      </c>
      <c r="G477" s="96">
        <v>13300</v>
      </c>
      <c r="H477" s="97">
        <v>13300</v>
      </c>
      <c r="I477" s="98"/>
      <c r="J477" s="98"/>
      <c r="K477" s="99"/>
      <c r="L477" s="98"/>
      <c r="M477" s="98"/>
      <c r="N477" s="99"/>
      <c r="O477" s="98"/>
      <c r="P477" s="98"/>
      <c r="Q477" s="99"/>
    </row>
    <row r="478" spans="1:17" ht="14.45" customHeight="1">
      <c r="A478" s="75">
        <v>69</v>
      </c>
      <c r="B478" s="76"/>
      <c r="C478" s="103" t="s">
        <v>357</v>
      </c>
      <c r="D478" s="103" t="s">
        <v>165</v>
      </c>
      <c r="E478" s="78" t="s">
        <v>341</v>
      </c>
      <c r="F478" s="79" t="s">
        <v>50</v>
      </c>
      <c r="G478" s="79" t="s">
        <v>50</v>
      </c>
      <c r="H478" s="80" t="s">
        <v>50</v>
      </c>
      <c r="I478" s="79"/>
      <c r="J478" s="79"/>
      <c r="K478" s="80"/>
      <c r="L478" s="79"/>
      <c r="M478" s="79"/>
      <c r="N478" s="80"/>
      <c r="O478" s="79"/>
      <c r="P478" s="79"/>
      <c r="Q478" s="80"/>
    </row>
    <row r="479" spans="1:17" ht="60" customHeight="1">
      <c r="A479" s="81">
        <v>69</v>
      </c>
      <c r="B479" s="82"/>
      <c r="C479" s="104" t="s">
        <v>357</v>
      </c>
      <c r="D479" s="104" t="s">
        <v>165</v>
      </c>
      <c r="E479" s="84" t="s">
        <v>341</v>
      </c>
      <c r="F479" s="85"/>
      <c r="G479" s="86"/>
      <c r="H479" s="87"/>
      <c r="I479" s="86"/>
      <c r="J479" s="86"/>
      <c r="K479" s="87"/>
      <c r="L479" s="86"/>
      <c r="M479" s="86"/>
      <c r="N479" s="87"/>
      <c r="O479" s="86"/>
      <c r="P479" s="86"/>
      <c r="Q479" s="87"/>
    </row>
    <row r="480" spans="1:17" ht="45" customHeight="1">
      <c r="A480" s="81">
        <v>69</v>
      </c>
      <c r="B480" s="82"/>
      <c r="C480" s="104" t="s">
        <v>357</v>
      </c>
      <c r="D480" s="104" t="s">
        <v>165</v>
      </c>
      <c r="E480" s="84" t="s">
        <v>341</v>
      </c>
      <c r="F480" s="85"/>
      <c r="G480" s="85"/>
      <c r="H480" s="88"/>
      <c r="I480" s="86"/>
      <c r="J480" s="86"/>
      <c r="K480" s="87"/>
      <c r="L480" s="86"/>
      <c r="M480" s="86"/>
      <c r="N480" s="87"/>
      <c r="O480" s="86"/>
      <c r="P480" s="86"/>
      <c r="Q480" s="87"/>
    </row>
    <row r="481" spans="1:17" ht="14.45" customHeight="1">
      <c r="A481" s="81">
        <v>69</v>
      </c>
      <c r="B481" s="82"/>
      <c r="C481" s="104" t="s">
        <v>357</v>
      </c>
      <c r="D481" s="104" t="s">
        <v>165</v>
      </c>
      <c r="E481" s="84" t="s">
        <v>341</v>
      </c>
      <c r="F481" s="89">
        <v>31</v>
      </c>
      <c r="G481" s="89">
        <v>61</v>
      </c>
      <c r="H481" s="90">
        <v>9</v>
      </c>
      <c r="I481" s="86"/>
      <c r="J481" s="86"/>
      <c r="K481" s="87"/>
      <c r="L481" s="86"/>
      <c r="M481" s="86"/>
      <c r="N481" s="87"/>
      <c r="O481" s="86"/>
      <c r="P481" s="86"/>
      <c r="Q481" s="87"/>
    </row>
    <row r="482" spans="1:17" ht="45" customHeight="1">
      <c r="A482" s="81">
        <v>69</v>
      </c>
      <c r="B482" s="82"/>
      <c r="C482" s="104" t="s">
        <v>357</v>
      </c>
      <c r="D482" s="104" t="s">
        <v>165</v>
      </c>
      <c r="E482" s="84" t="s">
        <v>341</v>
      </c>
      <c r="F482" s="85"/>
      <c r="G482" s="85"/>
      <c r="H482" s="88"/>
      <c r="I482" s="86"/>
      <c r="J482" s="86"/>
      <c r="K482" s="87"/>
      <c r="L482" s="86"/>
      <c r="M482" s="86"/>
      <c r="N482" s="87"/>
      <c r="O482" s="86"/>
      <c r="P482" s="86"/>
      <c r="Q482" s="87"/>
    </row>
    <row r="483" spans="1:17" ht="14.45" customHeight="1">
      <c r="A483" s="81">
        <v>69</v>
      </c>
      <c r="B483" s="82"/>
      <c r="C483" s="104" t="s">
        <v>357</v>
      </c>
      <c r="D483" s="104" t="s">
        <v>165</v>
      </c>
      <c r="E483" s="84" t="s">
        <v>341</v>
      </c>
      <c r="F483" s="89">
        <v>47</v>
      </c>
      <c r="G483" s="85"/>
      <c r="H483" s="88"/>
      <c r="I483" s="86"/>
      <c r="J483" s="86"/>
      <c r="K483" s="87"/>
      <c r="L483" s="86"/>
      <c r="M483" s="86"/>
      <c r="N483" s="87"/>
      <c r="O483" s="86"/>
      <c r="P483" s="86"/>
      <c r="Q483" s="87"/>
    </row>
    <row r="484" spans="1:17" ht="24" customHeight="1">
      <c r="A484" s="91">
        <v>69</v>
      </c>
      <c r="B484" s="92"/>
      <c r="C484" s="105" t="s">
        <v>357</v>
      </c>
      <c r="D484" s="105" t="s">
        <v>165</v>
      </c>
      <c r="E484" s="94" t="s">
        <v>341</v>
      </c>
      <c r="F484" s="95" t="s">
        <v>56</v>
      </c>
      <c r="G484" s="96">
        <v>13300</v>
      </c>
      <c r="H484" s="97">
        <v>13300</v>
      </c>
      <c r="I484" s="98"/>
      <c r="J484" s="98"/>
      <c r="K484" s="99"/>
      <c r="L484" s="98"/>
      <c r="M484" s="98"/>
      <c r="N484" s="99"/>
      <c r="O484" s="98"/>
      <c r="P484" s="98"/>
      <c r="Q484" s="99"/>
    </row>
    <row r="485" spans="1:17" ht="14.45" customHeight="1">
      <c r="A485" s="75">
        <v>70</v>
      </c>
      <c r="B485" s="76"/>
      <c r="C485" s="103" t="s">
        <v>358</v>
      </c>
      <c r="D485" s="103" t="s">
        <v>165</v>
      </c>
      <c r="E485" s="78" t="s">
        <v>341</v>
      </c>
      <c r="F485" s="79" t="s">
        <v>50</v>
      </c>
      <c r="G485" s="79" t="s">
        <v>50</v>
      </c>
      <c r="H485" s="80" t="s">
        <v>50</v>
      </c>
      <c r="I485" s="79"/>
      <c r="J485" s="79"/>
      <c r="K485" s="80"/>
      <c r="L485" s="79"/>
      <c r="M485" s="79"/>
      <c r="N485" s="80"/>
      <c r="O485" s="79"/>
      <c r="P485" s="79"/>
      <c r="Q485" s="80"/>
    </row>
    <row r="486" spans="1:17" ht="60" customHeight="1">
      <c r="A486" s="81">
        <v>70</v>
      </c>
      <c r="B486" s="82"/>
      <c r="C486" s="104" t="s">
        <v>358</v>
      </c>
      <c r="D486" s="104" t="s">
        <v>165</v>
      </c>
      <c r="E486" s="84" t="s">
        <v>341</v>
      </c>
      <c r="F486" s="85"/>
      <c r="G486" s="86"/>
      <c r="H486" s="87"/>
      <c r="I486" s="86"/>
      <c r="J486" s="86"/>
      <c r="K486" s="87"/>
      <c r="L486" s="86"/>
      <c r="M486" s="86"/>
      <c r="N486" s="87"/>
      <c r="O486" s="86"/>
      <c r="P486" s="86"/>
      <c r="Q486" s="87"/>
    </row>
    <row r="487" spans="1:17" ht="45" customHeight="1">
      <c r="A487" s="81">
        <v>70</v>
      </c>
      <c r="B487" s="82"/>
      <c r="C487" s="104" t="s">
        <v>358</v>
      </c>
      <c r="D487" s="104" t="s">
        <v>165</v>
      </c>
      <c r="E487" s="84" t="s">
        <v>341</v>
      </c>
      <c r="F487" s="85"/>
      <c r="G487" s="85"/>
      <c r="H487" s="88"/>
      <c r="I487" s="86"/>
      <c r="J487" s="86"/>
      <c r="K487" s="87"/>
      <c r="L487" s="86"/>
      <c r="M487" s="86"/>
      <c r="N487" s="87"/>
      <c r="O487" s="86"/>
      <c r="P487" s="86"/>
      <c r="Q487" s="87"/>
    </row>
    <row r="488" spans="1:17" ht="14.45" customHeight="1">
      <c r="A488" s="81">
        <v>70</v>
      </c>
      <c r="B488" s="82"/>
      <c r="C488" s="104" t="s">
        <v>358</v>
      </c>
      <c r="D488" s="104" t="s">
        <v>165</v>
      </c>
      <c r="E488" s="84" t="s">
        <v>341</v>
      </c>
      <c r="F488" s="89">
        <v>31</v>
      </c>
      <c r="G488" s="89">
        <v>61</v>
      </c>
      <c r="H488" s="90">
        <v>9</v>
      </c>
      <c r="I488" s="86"/>
      <c r="J488" s="86"/>
      <c r="K488" s="87"/>
      <c r="L488" s="86"/>
      <c r="M488" s="86"/>
      <c r="N488" s="87"/>
      <c r="O488" s="86"/>
      <c r="P488" s="86"/>
      <c r="Q488" s="87"/>
    </row>
    <row r="489" spans="1:17" ht="45" customHeight="1">
      <c r="A489" s="81">
        <v>70</v>
      </c>
      <c r="B489" s="82"/>
      <c r="C489" s="104" t="s">
        <v>358</v>
      </c>
      <c r="D489" s="104" t="s">
        <v>165</v>
      </c>
      <c r="E489" s="84" t="s">
        <v>341</v>
      </c>
      <c r="F489" s="85"/>
      <c r="G489" s="85"/>
      <c r="H489" s="88"/>
      <c r="I489" s="86"/>
      <c r="J489" s="86"/>
      <c r="K489" s="87"/>
      <c r="L489" s="86"/>
      <c r="M489" s="86"/>
      <c r="N489" s="87"/>
      <c r="O489" s="86"/>
      <c r="P489" s="86"/>
      <c r="Q489" s="87"/>
    </row>
    <row r="490" spans="1:17" ht="14.45" customHeight="1">
      <c r="A490" s="81">
        <v>70</v>
      </c>
      <c r="B490" s="82"/>
      <c r="C490" s="104" t="s">
        <v>358</v>
      </c>
      <c r="D490" s="104" t="s">
        <v>165</v>
      </c>
      <c r="E490" s="84" t="s">
        <v>341</v>
      </c>
      <c r="F490" s="89">
        <v>47</v>
      </c>
      <c r="G490" s="85"/>
      <c r="H490" s="88"/>
      <c r="I490" s="86"/>
      <c r="J490" s="86"/>
      <c r="K490" s="87"/>
      <c r="L490" s="86"/>
      <c r="M490" s="86"/>
      <c r="N490" s="87"/>
      <c r="O490" s="86"/>
      <c r="P490" s="86"/>
      <c r="Q490" s="87"/>
    </row>
    <row r="491" spans="1:17" ht="24" customHeight="1">
      <c r="A491" s="91">
        <v>70</v>
      </c>
      <c r="B491" s="92"/>
      <c r="C491" s="105" t="s">
        <v>358</v>
      </c>
      <c r="D491" s="105" t="s">
        <v>165</v>
      </c>
      <c r="E491" s="94" t="s">
        <v>341</v>
      </c>
      <c r="F491" s="95" t="s">
        <v>56</v>
      </c>
      <c r="G491" s="96">
        <v>13300</v>
      </c>
      <c r="H491" s="97">
        <v>13300</v>
      </c>
      <c r="I491" s="98"/>
      <c r="J491" s="98"/>
      <c r="K491" s="99"/>
      <c r="L491" s="98"/>
      <c r="M491" s="98"/>
      <c r="N491" s="99"/>
      <c r="O491" s="98"/>
      <c r="P491" s="98"/>
      <c r="Q491" s="99"/>
    </row>
    <row r="492" spans="1:17" ht="14.45" customHeight="1">
      <c r="A492" s="75">
        <v>71</v>
      </c>
      <c r="B492" s="76"/>
      <c r="C492" s="103" t="s">
        <v>358</v>
      </c>
      <c r="D492" s="103" t="s">
        <v>165</v>
      </c>
      <c r="E492" s="78" t="s">
        <v>341</v>
      </c>
      <c r="F492" s="79" t="s">
        <v>50</v>
      </c>
      <c r="G492" s="79" t="s">
        <v>50</v>
      </c>
      <c r="H492" s="80" t="s">
        <v>50</v>
      </c>
      <c r="I492" s="79"/>
      <c r="J492" s="79"/>
      <c r="K492" s="80"/>
      <c r="L492" s="79"/>
      <c r="M492" s="79"/>
      <c r="N492" s="80"/>
      <c r="O492" s="79"/>
      <c r="P492" s="79"/>
      <c r="Q492" s="80"/>
    </row>
    <row r="493" spans="1:17" ht="60" customHeight="1">
      <c r="A493" s="81">
        <v>71</v>
      </c>
      <c r="B493" s="82"/>
      <c r="C493" s="104" t="s">
        <v>358</v>
      </c>
      <c r="D493" s="104" t="s">
        <v>165</v>
      </c>
      <c r="E493" s="84" t="s">
        <v>341</v>
      </c>
      <c r="F493" s="85"/>
      <c r="G493" s="86"/>
      <c r="H493" s="87"/>
      <c r="I493" s="86"/>
      <c r="J493" s="86"/>
      <c r="K493" s="87"/>
      <c r="L493" s="86"/>
      <c r="M493" s="86"/>
      <c r="N493" s="87"/>
      <c r="O493" s="86"/>
      <c r="P493" s="86"/>
      <c r="Q493" s="87"/>
    </row>
    <row r="494" spans="1:17" ht="45" customHeight="1">
      <c r="A494" s="81">
        <v>71</v>
      </c>
      <c r="B494" s="82"/>
      <c r="C494" s="104" t="s">
        <v>358</v>
      </c>
      <c r="D494" s="104" t="s">
        <v>165</v>
      </c>
      <c r="E494" s="84" t="s">
        <v>341</v>
      </c>
      <c r="F494" s="85"/>
      <c r="G494" s="85"/>
      <c r="H494" s="88"/>
      <c r="I494" s="86"/>
      <c r="J494" s="86"/>
      <c r="K494" s="87"/>
      <c r="L494" s="86"/>
      <c r="M494" s="86"/>
      <c r="N494" s="87"/>
      <c r="O494" s="86"/>
      <c r="P494" s="86"/>
      <c r="Q494" s="87"/>
    </row>
    <row r="495" spans="1:17" ht="14.45" customHeight="1">
      <c r="A495" s="81">
        <v>71</v>
      </c>
      <c r="B495" s="82"/>
      <c r="C495" s="104" t="s">
        <v>358</v>
      </c>
      <c r="D495" s="104" t="s">
        <v>165</v>
      </c>
      <c r="E495" s="84" t="s">
        <v>341</v>
      </c>
      <c r="F495" s="89">
        <v>31</v>
      </c>
      <c r="G495" s="89">
        <v>61</v>
      </c>
      <c r="H495" s="90">
        <v>9</v>
      </c>
      <c r="I495" s="86"/>
      <c r="J495" s="86"/>
      <c r="K495" s="87"/>
      <c r="L495" s="86"/>
      <c r="M495" s="86"/>
      <c r="N495" s="87"/>
      <c r="O495" s="86"/>
      <c r="P495" s="86"/>
      <c r="Q495" s="87"/>
    </row>
    <row r="496" spans="1:17" ht="45" customHeight="1">
      <c r="A496" s="81">
        <v>71</v>
      </c>
      <c r="B496" s="82"/>
      <c r="C496" s="104" t="s">
        <v>358</v>
      </c>
      <c r="D496" s="104" t="s">
        <v>165</v>
      </c>
      <c r="E496" s="84" t="s">
        <v>341</v>
      </c>
      <c r="F496" s="85"/>
      <c r="G496" s="85"/>
      <c r="H496" s="88"/>
      <c r="I496" s="86"/>
      <c r="J496" s="86"/>
      <c r="K496" s="87"/>
      <c r="L496" s="86"/>
      <c r="M496" s="86"/>
      <c r="N496" s="87"/>
      <c r="O496" s="86"/>
      <c r="P496" s="86"/>
      <c r="Q496" s="87"/>
    </row>
    <row r="497" spans="1:17" ht="14.45" customHeight="1">
      <c r="A497" s="81">
        <v>71</v>
      </c>
      <c r="B497" s="82"/>
      <c r="C497" s="104" t="s">
        <v>358</v>
      </c>
      <c r="D497" s="104" t="s">
        <v>165</v>
      </c>
      <c r="E497" s="84" t="s">
        <v>341</v>
      </c>
      <c r="F497" s="89">
        <v>47</v>
      </c>
      <c r="G497" s="85"/>
      <c r="H497" s="88"/>
      <c r="I497" s="86"/>
      <c r="J497" s="86"/>
      <c r="K497" s="87"/>
      <c r="L497" s="86"/>
      <c r="M497" s="86"/>
      <c r="N497" s="87"/>
      <c r="O497" s="86"/>
      <c r="P497" s="86"/>
      <c r="Q497" s="87"/>
    </row>
    <row r="498" spans="1:17" ht="24" customHeight="1">
      <c r="A498" s="91">
        <v>71</v>
      </c>
      <c r="B498" s="92"/>
      <c r="C498" s="105" t="s">
        <v>358</v>
      </c>
      <c r="D498" s="105" t="s">
        <v>165</v>
      </c>
      <c r="E498" s="94" t="s">
        <v>341</v>
      </c>
      <c r="F498" s="95" t="s">
        <v>56</v>
      </c>
      <c r="G498" s="96">
        <v>13300</v>
      </c>
      <c r="H498" s="97">
        <v>13300</v>
      </c>
      <c r="I498" s="98"/>
      <c r="J498" s="98"/>
      <c r="K498" s="99"/>
      <c r="L498" s="98"/>
      <c r="M498" s="98"/>
      <c r="N498" s="99"/>
      <c r="O498" s="98"/>
      <c r="P498" s="98"/>
      <c r="Q498" s="99"/>
    </row>
    <row r="499" spans="1:17" ht="14.45" customHeight="1">
      <c r="A499" s="75">
        <v>72</v>
      </c>
      <c r="B499" s="76"/>
      <c r="C499" s="103" t="s">
        <v>359</v>
      </c>
      <c r="D499" s="103" t="s">
        <v>165</v>
      </c>
      <c r="E499" s="78" t="s">
        <v>341</v>
      </c>
      <c r="F499" s="79" t="s">
        <v>50</v>
      </c>
      <c r="G499" s="79" t="s">
        <v>50</v>
      </c>
      <c r="H499" s="80" t="s">
        <v>50</v>
      </c>
      <c r="I499" s="79"/>
      <c r="J499" s="79"/>
      <c r="K499" s="80"/>
      <c r="L499" s="79"/>
      <c r="M499" s="79"/>
      <c r="N499" s="80"/>
      <c r="O499" s="79"/>
      <c r="P499" s="79"/>
      <c r="Q499" s="80"/>
    </row>
    <row r="500" spans="1:17" ht="60" customHeight="1">
      <c r="A500" s="81">
        <v>72</v>
      </c>
      <c r="B500" s="82"/>
      <c r="C500" s="104" t="s">
        <v>359</v>
      </c>
      <c r="D500" s="104" t="s">
        <v>165</v>
      </c>
      <c r="E500" s="84" t="s">
        <v>341</v>
      </c>
      <c r="F500" s="85"/>
      <c r="G500" s="86"/>
      <c r="H500" s="87"/>
      <c r="I500" s="86"/>
      <c r="J500" s="86"/>
      <c r="K500" s="87"/>
      <c r="L500" s="86"/>
      <c r="M500" s="86"/>
      <c r="N500" s="87"/>
      <c r="O500" s="86"/>
      <c r="P500" s="86"/>
      <c r="Q500" s="87"/>
    </row>
    <row r="501" spans="1:17" ht="45" customHeight="1">
      <c r="A501" s="81">
        <v>72</v>
      </c>
      <c r="B501" s="82"/>
      <c r="C501" s="104" t="s">
        <v>359</v>
      </c>
      <c r="D501" s="104" t="s">
        <v>165</v>
      </c>
      <c r="E501" s="84" t="s">
        <v>341</v>
      </c>
      <c r="F501" s="85"/>
      <c r="G501" s="85"/>
      <c r="H501" s="88"/>
      <c r="I501" s="86"/>
      <c r="J501" s="86"/>
      <c r="K501" s="87"/>
      <c r="L501" s="86"/>
      <c r="M501" s="86"/>
      <c r="N501" s="87"/>
      <c r="O501" s="86"/>
      <c r="P501" s="86"/>
      <c r="Q501" s="87"/>
    </row>
    <row r="502" spans="1:17" ht="14.45" customHeight="1">
      <c r="A502" s="81">
        <v>72</v>
      </c>
      <c r="B502" s="82"/>
      <c r="C502" s="104" t="s">
        <v>359</v>
      </c>
      <c r="D502" s="104" t="s">
        <v>165</v>
      </c>
      <c r="E502" s="84" t="s">
        <v>341</v>
      </c>
      <c r="F502" s="89">
        <v>23</v>
      </c>
      <c r="G502" s="89">
        <v>45</v>
      </c>
      <c r="H502" s="90">
        <v>7</v>
      </c>
      <c r="I502" s="86"/>
      <c r="J502" s="86"/>
      <c r="K502" s="87"/>
      <c r="L502" s="86"/>
      <c r="M502" s="86"/>
      <c r="N502" s="87"/>
      <c r="O502" s="86"/>
      <c r="P502" s="86"/>
      <c r="Q502" s="87"/>
    </row>
    <row r="503" spans="1:17" ht="45" customHeight="1">
      <c r="A503" s="81">
        <v>72</v>
      </c>
      <c r="B503" s="82"/>
      <c r="C503" s="104" t="s">
        <v>359</v>
      </c>
      <c r="D503" s="104" t="s">
        <v>165</v>
      </c>
      <c r="E503" s="84" t="s">
        <v>341</v>
      </c>
      <c r="F503" s="85"/>
      <c r="G503" s="85"/>
      <c r="H503" s="88"/>
      <c r="I503" s="86"/>
      <c r="J503" s="86"/>
      <c r="K503" s="87"/>
      <c r="L503" s="86"/>
      <c r="M503" s="86"/>
      <c r="N503" s="87"/>
      <c r="O503" s="86"/>
      <c r="P503" s="86"/>
      <c r="Q503" s="87"/>
    </row>
    <row r="504" spans="1:17" ht="14.45" customHeight="1">
      <c r="A504" s="81">
        <v>72</v>
      </c>
      <c r="B504" s="82"/>
      <c r="C504" s="104" t="s">
        <v>359</v>
      </c>
      <c r="D504" s="104" t="s">
        <v>165</v>
      </c>
      <c r="E504" s="84" t="s">
        <v>341</v>
      </c>
      <c r="F504" s="89">
        <v>35</v>
      </c>
      <c r="G504" s="85"/>
      <c r="H504" s="88"/>
      <c r="I504" s="86"/>
      <c r="J504" s="86"/>
      <c r="K504" s="87"/>
      <c r="L504" s="86"/>
      <c r="M504" s="86"/>
      <c r="N504" s="87"/>
      <c r="O504" s="86"/>
      <c r="P504" s="86"/>
      <c r="Q504" s="87"/>
    </row>
    <row r="505" spans="1:17" ht="24" customHeight="1">
      <c r="A505" s="91">
        <v>72</v>
      </c>
      <c r="B505" s="92"/>
      <c r="C505" s="105" t="s">
        <v>359</v>
      </c>
      <c r="D505" s="105" t="s">
        <v>165</v>
      </c>
      <c r="E505" s="94" t="s">
        <v>341</v>
      </c>
      <c r="F505" s="95" t="s">
        <v>56</v>
      </c>
      <c r="G505" s="96">
        <v>8200</v>
      </c>
      <c r="H505" s="97">
        <v>8200</v>
      </c>
      <c r="I505" s="98"/>
      <c r="J505" s="98"/>
      <c r="K505" s="99"/>
      <c r="L505" s="98"/>
      <c r="M505" s="98"/>
      <c r="N505" s="99"/>
      <c r="O505" s="98"/>
      <c r="P505" s="98"/>
      <c r="Q505" s="99"/>
    </row>
    <row r="506" spans="1:17" ht="14.45" customHeight="1">
      <c r="A506" s="75">
        <v>73</v>
      </c>
      <c r="B506" s="76"/>
      <c r="C506" s="103" t="s">
        <v>360</v>
      </c>
      <c r="D506" s="103" t="s">
        <v>165</v>
      </c>
      <c r="E506" s="78" t="s">
        <v>341</v>
      </c>
      <c r="F506" s="79" t="s">
        <v>50</v>
      </c>
      <c r="G506" s="79" t="s">
        <v>50</v>
      </c>
      <c r="H506" s="80" t="s">
        <v>50</v>
      </c>
      <c r="I506" s="79"/>
      <c r="J506" s="79"/>
      <c r="K506" s="80"/>
      <c r="L506" s="79"/>
      <c r="M506" s="79"/>
      <c r="N506" s="80"/>
      <c r="O506" s="79"/>
      <c r="P506" s="79"/>
      <c r="Q506" s="80"/>
    </row>
    <row r="507" spans="1:17" ht="60" customHeight="1">
      <c r="A507" s="81">
        <v>73</v>
      </c>
      <c r="B507" s="82"/>
      <c r="C507" s="104" t="s">
        <v>360</v>
      </c>
      <c r="D507" s="104" t="s">
        <v>165</v>
      </c>
      <c r="E507" s="84" t="s">
        <v>341</v>
      </c>
      <c r="F507" s="85"/>
      <c r="G507" s="86"/>
      <c r="H507" s="87"/>
      <c r="I507" s="86"/>
      <c r="J507" s="86"/>
      <c r="K507" s="87"/>
      <c r="L507" s="86"/>
      <c r="M507" s="86"/>
      <c r="N507" s="87"/>
      <c r="O507" s="86"/>
      <c r="P507" s="86"/>
      <c r="Q507" s="87"/>
    </row>
    <row r="508" spans="1:17" ht="45" customHeight="1">
      <c r="A508" s="81">
        <v>73</v>
      </c>
      <c r="B508" s="82"/>
      <c r="C508" s="104" t="s">
        <v>360</v>
      </c>
      <c r="D508" s="104" t="s">
        <v>165</v>
      </c>
      <c r="E508" s="84" t="s">
        <v>341</v>
      </c>
      <c r="F508" s="85"/>
      <c r="G508" s="85"/>
      <c r="H508" s="88"/>
      <c r="I508" s="86"/>
      <c r="J508" s="86"/>
      <c r="K508" s="87"/>
      <c r="L508" s="86"/>
      <c r="M508" s="86"/>
      <c r="N508" s="87"/>
      <c r="O508" s="86"/>
      <c r="P508" s="86"/>
      <c r="Q508" s="87"/>
    </row>
    <row r="509" spans="1:17" ht="14.45" customHeight="1">
      <c r="A509" s="81">
        <v>73</v>
      </c>
      <c r="B509" s="82"/>
      <c r="C509" s="104" t="s">
        <v>360</v>
      </c>
      <c r="D509" s="104" t="s">
        <v>165</v>
      </c>
      <c r="E509" s="84" t="s">
        <v>341</v>
      </c>
      <c r="F509" s="89">
        <v>23</v>
      </c>
      <c r="G509" s="89">
        <v>45</v>
      </c>
      <c r="H509" s="90">
        <v>7</v>
      </c>
      <c r="I509" s="86"/>
      <c r="J509" s="86"/>
      <c r="K509" s="87"/>
      <c r="L509" s="86"/>
      <c r="M509" s="86"/>
      <c r="N509" s="87"/>
      <c r="O509" s="86"/>
      <c r="P509" s="86"/>
      <c r="Q509" s="87"/>
    </row>
    <row r="510" spans="1:17" ht="45" customHeight="1">
      <c r="A510" s="81">
        <v>73</v>
      </c>
      <c r="B510" s="82"/>
      <c r="C510" s="104" t="s">
        <v>360</v>
      </c>
      <c r="D510" s="104" t="s">
        <v>165</v>
      </c>
      <c r="E510" s="84" t="s">
        <v>341</v>
      </c>
      <c r="F510" s="85"/>
      <c r="G510" s="85"/>
      <c r="H510" s="88"/>
      <c r="I510" s="86"/>
      <c r="J510" s="86"/>
      <c r="K510" s="87"/>
      <c r="L510" s="86"/>
      <c r="M510" s="86"/>
      <c r="N510" s="87"/>
      <c r="O510" s="86"/>
      <c r="P510" s="86"/>
      <c r="Q510" s="87"/>
    </row>
    <row r="511" spans="1:17" ht="14.45" customHeight="1">
      <c r="A511" s="81">
        <v>73</v>
      </c>
      <c r="B511" s="82"/>
      <c r="C511" s="104" t="s">
        <v>360</v>
      </c>
      <c r="D511" s="104" t="s">
        <v>165</v>
      </c>
      <c r="E511" s="84" t="s">
        <v>341</v>
      </c>
      <c r="F511" s="89">
        <v>35</v>
      </c>
      <c r="G511" s="85"/>
      <c r="H511" s="88"/>
      <c r="I511" s="86"/>
      <c r="J511" s="86"/>
      <c r="K511" s="87"/>
      <c r="L511" s="86"/>
      <c r="M511" s="86"/>
      <c r="N511" s="87"/>
      <c r="O511" s="86"/>
      <c r="P511" s="86"/>
      <c r="Q511" s="87"/>
    </row>
    <row r="512" spans="1:17" ht="24" customHeight="1">
      <c r="A512" s="91">
        <v>73</v>
      </c>
      <c r="B512" s="92"/>
      <c r="C512" s="105" t="s">
        <v>360</v>
      </c>
      <c r="D512" s="105" t="s">
        <v>165</v>
      </c>
      <c r="E512" s="94" t="s">
        <v>341</v>
      </c>
      <c r="F512" s="95" t="s">
        <v>56</v>
      </c>
      <c r="G512" s="96">
        <v>11600</v>
      </c>
      <c r="H512" s="97">
        <v>11600</v>
      </c>
      <c r="I512" s="98"/>
      <c r="J512" s="98"/>
      <c r="K512" s="99"/>
      <c r="L512" s="98"/>
      <c r="M512" s="98"/>
      <c r="N512" s="99"/>
      <c r="O512" s="98"/>
      <c r="P512" s="98"/>
      <c r="Q512" s="99"/>
    </row>
    <row r="513" spans="1:17" ht="14.45" customHeight="1">
      <c r="A513" s="75">
        <v>74</v>
      </c>
      <c r="B513" s="76"/>
      <c r="C513" s="103" t="s">
        <v>345</v>
      </c>
      <c r="D513" s="103" t="s">
        <v>165</v>
      </c>
      <c r="E513" s="78" t="s">
        <v>267</v>
      </c>
      <c r="F513" s="79" t="s">
        <v>50</v>
      </c>
      <c r="G513" s="79" t="s">
        <v>50</v>
      </c>
      <c r="H513" s="80" t="s">
        <v>50</v>
      </c>
      <c r="I513" s="79" t="s">
        <v>51</v>
      </c>
      <c r="J513" s="79" t="s">
        <v>51</v>
      </c>
      <c r="K513" s="80" t="s">
        <v>51</v>
      </c>
      <c r="L513" s="79"/>
      <c r="M513" s="79"/>
      <c r="N513" s="80"/>
      <c r="O513" s="79"/>
      <c r="P513" s="79"/>
      <c r="Q513" s="80"/>
    </row>
    <row r="514" spans="1:17" ht="60" customHeight="1">
      <c r="A514" s="81">
        <v>74</v>
      </c>
      <c r="B514" s="82"/>
      <c r="C514" s="104" t="s">
        <v>345</v>
      </c>
      <c r="D514" s="104" t="s">
        <v>165</v>
      </c>
      <c r="E514" s="84" t="s">
        <v>267</v>
      </c>
      <c r="F514" s="85"/>
      <c r="G514" s="86" t="s">
        <v>361</v>
      </c>
      <c r="H514" s="87" t="s">
        <v>361</v>
      </c>
      <c r="I514" s="85"/>
      <c r="J514" s="86"/>
      <c r="K514" s="87"/>
      <c r="L514" s="86"/>
      <c r="M514" s="86"/>
      <c r="N514" s="87"/>
      <c r="O514" s="86"/>
      <c r="P514" s="86"/>
      <c r="Q514" s="87"/>
    </row>
    <row r="515" spans="1:17" ht="45" customHeight="1">
      <c r="A515" s="81">
        <v>74</v>
      </c>
      <c r="B515" s="82"/>
      <c r="C515" s="104" t="s">
        <v>345</v>
      </c>
      <c r="D515" s="104" t="s">
        <v>165</v>
      </c>
      <c r="E515" s="84" t="s">
        <v>267</v>
      </c>
      <c r="F515" s="85"/>
      <c r="G515" s="85"/>
      <c r="H515" s="88"/>
      <c r="I515" s="85"/>
      <c r="J515" s="85"/>
      <c r="K515" s="88"/>
      <c r="L515" s="86"/>
      <c r="M515" s="86"/>
      <c r="N515" s="87"/>
      <c r="O515" s="86"/>
      <c r="P515" s="86"/>
      <c r="Q515" s="87"/>
    </row>
    <row r="516" spans="1:17" ht="14.45" customHeight="1">
      <c r="A516" s="81">
        <v>74</v>
      </c>
      <c r="B516" s="82"/>
      <c r="C516" s="104" t="s">
        <v>345</v>
      </c>
      <c r="D516" s="104" t="s">
        <v>165</v>
      </c>
      <c r="E516" s="84" t="s">
        <v>267</v>
      </c>
      <c r="F516" s="89">
        <v>30</v>
      </c>
      <c r="G516" s="89">
        <v>29</v>
      </c>
      <c r="H516" s="90">
        <v>4</v>
      </c>
      <c r="I516" s="89">
        <v>42</v>
      </c>
      <c r="J516" s="89">
        <v>41</v>
      </c>
      <c r="K516" s="90">
        <v>6</v>
      </c>
      <c r="L516" s="86"/>
      <c r="M516" s="86"/>
      <c r="N516" s="87"/>
      <c r="O516" s="86"/>
      <c r="P516" s="86"/>
      <c r="Q516" s="87"/>
    </row>
    <row r="517" spans="1:17" ht="45" customHeight="1">
      <c r="A517" s="81">
        <v>74</v>
      </c>
      <c r="B517" s="82"/>
      <c r="C517" s="104" t="s">
        <v>345</v>
      </c>
      <c r="D517" s="104" t="s">
        <v>165</v>
      </c>
      <c r="E517" s="84" t="s">
        <v>267</v>
      </c>
      <c r="F517" s="85"/>
      <c r="G517" s="85"/>
      <c r="H517" s="88"/>
      <c r="I517" s="85"/>
      <c r="J517" s="85"/>
      <c r="K517" s="88"/>
      <c r="L517" s="86"/>
      <c r="M517" s="86"/>
      <c r="N517" s="87"/>
      <c r="O517" s="86"/>
      <c r="P517" s="86"/>
      <c r="Q517" s="87"/>
    </row>
    <row r="518" spans="1:17" ht="14.45" customHeight="1">
      <c r="A518" s="81">
        <v>74</v>
      </c>
      <c r="B518" s="82"/>
      <c r="C518" s="104" t="s">
        <v>345</v>
      </c>
      <c r="D518" s="104" t="s">
        <v>165</v>
      </c>
      <c r="E518" s="84" t="s">
        <v>267</v>
      </c>
      <c r="F518" s="89">
        <v>14</v>
      </c>
      <c r="G518" s="85"/>
      <c r="H518" s="88"/>
      <c r="I518" s="89">
        <v>20</v>
      </c>
      <c r="J518" s="85"/>
      <c r="K518" s="88"/>
      <c r="L518" s="86"/>
      <c r="M518" s="86"/>
      <c r="N518" s="87"/>
      <c r="O518" s="86"/>
      <c r="P518" s="86"/>
      <c r="Q518" s="87"/>
    </row>
    <row r="519" spans="1:17" ht="24" customHeight="1">
      <c r="A519" s="91">
        <v>74</v>
      </c>
      <c r="B519" s="92"/>
      <c r="C519" s="105" t="s">
        <v>345</v>
      </c>
      <c r="D519" s="105" t="s">
        <v>165</v>
      </c>
      <c r="E519" s="94" t="s">
        <v>267</v>
      </c>
      <c r="F519" s="95" t="s">
        <v>56</v>
      </c>
      <c r="G519" s="96">
        <v>6240</v>
      </c>
      <c r="H519" s="97">
        <v>6240</v>
      </c>
      <c r="I519" s="95" t="s">
        <v>56</v>
      </c>
      <c r="J519" s="96">
        <v>8890</v>
      </c>
      <c r="K519" s="97">
        <v>8890</v>
      </c>
      <c r="L519" s="98"/>
      <c r="M519" s="98"/>
      <c r="N519" s="99"/>
      <c r="O519" s="98"/>
      <c r="P519" s="98"/>
      <c r="Q519" s="99"/>
    </row>
    <row r="520" spans="1:17" ht="14.45" customHeight="1">
      <c r="A520" s="75">
        <v>75</v>
      </c>
      <c r="B520" s="76"/>
      <c r="C520" s="103" t="s">
        <v>342</v>
      </c>
      <c r="D520" s="103" t="s">
        <v>165</v>
      </c>
      <c r="E520" s="78" t="s">
        <v>267</v>
      </c>
      <c r="F520" s="79" t="s">
        <v>50</v>
      </c>
      <c r="G520" s="79" t="s">
        <v>50</v>
      </c>
      <c r="H520" s="80" t="s">
        <v>50</v>
      </c>
      <c r="I520" s="79" t="s">
        <v>51</v>
      </c>
      <c r="J520" s="79" t="s">
        <v>51</v>
      </c>
      <c r="K520" s="80" t="s">
        <v>51</v>
      </c>
      <c r="L520" s="79"/>
      <c r="M520" s="79"/>
      <c r="N520" s="80"/>
      <c r="O520" s="79"/>
      <c r="P520" s="79"/>
      <c r="Q520" s="80"/>
    </row>
    <row r="521" spans="1:17" ht="60" customHeight="1">
      <c r="A521" s="81">
        <v>75</v>
      </c>
      <c r="B521" s="82"/>
      <c r="C521" s="104" t="s">
        <v>342</v>
      </c>
      <c r="D521" s="104" t="s">
        <v>165</v>
      </c>
      <c r="E521" s="84" t="s">
        <v>267</v>
      </c>
      <c r="F521" s="85"/>
      <c r="G521" s="86" t="s">
        <v>362</v>
      </c>
      <c r="H521" s="87" t="s">
        <v>362</v>
      </c>
      <c r="I521" s="85"/>
      <c r="J521" s="86"/>
      <c r="K521" s="87"/>
      <c r="L521" s="86"/>
      <c r="M521" s="86"/>
      <c r="N521" s="87"/>
      <c r="O521" s="86"/>
      <c r="P521" s="86"/>
      <c r="Q521" s="87"/>
    </row>
    <row r="522" spans="1:17" ht="45" customHeight="1">
      <c r="A522" s="81">
        <v>75</v>
      </c>
      <c r="B522" s="82"/>
      <c r="C522" s="104" t="s">
        <v>342</v>
      </c>
      <c r="D522" s="104" t="s">
        <v>165</v>
      </c>
      <c r="E522" s="84" t="s">
        <v>267</v>
      </c>
      <c r="F522" s="85"/>
      <c r="G522" s="85"/>
      <c r="H522" s="88"/>
      <c r="I522" s="85"/>
      <c r="J522" s="85"/>
      <c r="K522" s="88"/>
      <c r="L522" s="86"/>
      <c r="M522" s="86"/>
      <c r="N522" s="87"/>
      <c r="O522" s="86"/>
      <c r="P522" s="86"/>
      <c r="Q522" s="87"/>
    </row>
    <row r="523" spans="1:17" ht="14.45" customHeight="1">
      <c r="A523" s="81">
        <v>75</v>
      </c>
      <c r="B523" s="82"/>
      <c r="C523" s="104" t="s">
        <v>342</v>
      </c>
      <c r="D523" s="104" t="s">
        <v>165</v>
      </c>
      <c r="E523" s="84" t="s">
        <v>267</v>
      </c>
      <c r="F523" s="89">
        <v>30</v>
      </c>
      <c r="G523" s="89">
        <v>29</v>
      </c>
      <c r="H523" s="90">
        <v>4</v>
      </c>
      <c r="I523" s="89">
        <v>42</v>
      </c>
      <c r="J523" s="89">
        <v>41</v>
      </c>
      <c r="K523" s="90">
        <v>6</v>
      </c>
      <c r="L523" s="86"/>
      <c r="M523" s="86"/>
      <c r="N523" s="87"/>
      <c r="O523" s="86"/>
      <c r="P523" s="86"/>
      <c r="Q523" s="87"/>
    </row>
    <row r="524" spans="1:17" ht="45" customHeight="1">
      <c r="A524" s="81">
        <v>75</v>
      </c>
      <c r="B524" s="82"/>
      <c r="C524" s="104" t="s">
        <v>342</v>
      </c>
      <c r="D524" s="104" t="s">
        <v>165</v>
      </c>
      <c r="E524" s="84" t="s">
        <v>267</v>
      </c>
      <c r="F524" s="85"/>
      <c r="G524" s="85"/>
      <c r="H524" s="88"/>
      <c r="I524" s="85"/>
      <c r="J524" s="85"/>
      <c r="K524" s="88"/>
      <c r="L524" s="86"/>
      <c r="M524" s="86"/>
      <c r="N524" s="87"/>
      <c r="O524" s="86"/>
      <c r="P524" s="86"/>
      <c r="Q524" s="87"/>
    </row>
    <row r="525" spans="1:17" ht="14.45" customHeight="1">
      <c r="A525" s="81">
        <v>75</v>
      </c>
      <c r="B525" s="82"/>
      <c r="C525" s="104" t="s">
        <v>342</v>
      </c>
      <c r="D525" s="104" t="s">
        <v>165</v>
      </c>
      <c r="E525" s="84" t="s">
        <v>267</v>
      </c>
      <c r="F525" s="89">
        <v>14</v>
      </c>
      <c r="G525" s="85"/>
      <c r="H525" s="88"/>
      <c r="I525" s="89">
        <v>20</v>
      </c>
      <c r="J525" s="85"/>
      <c r="K525" s="88"/>
      <c r="L525" s="86"/>
      <c r="M525" s="86"/>
      <c r="N525" s="87"/>
      <c r="O525" s="86"/>
      <c r="P525" s="86"/>
      <c r="Q525" s="87"/>
    </row>
    <row r="526" spans="1:17" ht="24" customHeight="1">
      <c r="A526" s="91">
        <v>75</v>
      </c>
      <c r="B526" s="92"/>
      <c r="C526" s="105" t="s">
        <v>342</v>
      </c>
      <c r="D526" s="105" t="s">
        <v>165</v>
      </c>
      <c r="E526" s="94" t="s">
        <v>267</v>
      </c>
      <c r="F526" s="95" t="s">
        <v>56</v>
      </c>
      <c r="G526" s="96">
        <v>6240</v>
      </c>
      <c r="H526" s="97">
        <v>6240</v>
      </c>
      <c r="I526" s="95" t="s">
        <v>56</v>
      </c>
      <c r="J526" s="96">
        <v>8890</v>
      </c>
      <c r="K526" s="97">
        <v>8890</v>
      </c>
      <c r="L526" s="98"/>
      <c r="M526" s="98"/>
      <c r="N526" s="99"/>
      <c r="O526" s="98"/>
      <c r="P526" s="98"/>
      <c r="Q526" s="99"/>
    </row>
    <row r="527" spans="1:17" ht="14.45" customHeight="1">
      <c r="A527" s="75">
        <v>76</v>
      </c>
      <c r="B527" s="76"/>
      <c r="C527" s="103" t="s">
        <v>350</v>
      </c>
      <c r="D527" s="103" t="s">
        <v>165</v>
      </c>
      <c r="E527" s="78" t="s">
        <v>267</v>
      </c>
      <c r="F527" s="79" t="s">
        <v>50</v>
      </c>
      <c r="G527" s="79" t="s">
        <v>50</v>
      </c>
      <c r="H527" s="80" t="s">
        <v>50</v>
      </c>
      <c r="I527" s="79" t="s">
        <v>51</v>
      </c>
      <c r="J527" s="79" t="s">
        <v>51</v>
      </c>
      <c r="K527" s="80" t="s">
        <v>51</v>
      </c>
      <c r="L527" s="79"/>
      <c r="M527" s="79"/>
      <c r="N527" s="80"/>
      <c r="O527" s="79"/>
      <c r="P527" s="79"/>
      <c r="Q527" s="80"/>
    </row>
    <row r="528" spans="1:17" ht="60" customHeight="1">
      <c r="A528" s="81">
        <v>76</v>
      </c>
      <c r="B528" s="82"/>
      <c r="C528" s="104" t="s">
        <v>350</v>
      </c>
      <c r="D528" s="104" t="s">
        <v>165</v>
      </c>
      <c r="E528" s="84" t="s">
        <v>267</v>
      </c>
      <c r="F528" s="85"/>
      <c r="G528" s="86" t="s">
        <v>363</v>
      </c>
      <c r="H528" s="87" t="s">
        <v>363</v>
      </c>
      <c r="I528" s="85"/>
      <c r="J528" s="86"/>
      <c r="K528" s="87"/>
      <c r="L528" s="86"/>
      <c r="M528" s="86"/>
      <c r="N528" s="87"/>
      <c r="O528" s="86"/>
      <c r="P528" s="86"/>
      <c r="Q528" s="87"/>
    </row>
    <row r="529" spans="1:17" ht="45" customHeight="1">
      <c r="A529" s="81">
        <v>76</v>
      </c>
      <c r="B529" s="82"/>
      <c r="C529" s="104" t="s">
        <v>350</v>
      </c>
      <c r="D529" s="104" t="s">
        <v>165</v>
      </c>
      <c r="E529" s="84" t="s">
        <v>267</v>
      </c>
      <c r="F529" s="85"/>
      <c r="G529" s="85"/>
      <c r="H529" s="88"/>
      <c r="I529" s="85"/>
      <c r="J529" s="85"/>
      <c r="K529" s="88"/>
      <c r="L529" s="86"/>
      <c r="M529" s="86"/>
      <c r="N529" s="87"/>
      <c r="O529" s="86"/>
      <c r="P529" s="86"/>
      <c r="Q529" s="87"/>
    </row>
    <row r="530" spans="1:17" ht="14.45" customHeight="1">
      <c r="A530" s="81">
        <v>76</v>
      </c>
      <c r="B530" s="82"/>
      <c r="C530" s="104" t="s">
        <v>350</v>
      </c>
      <c r="D530" s="104" t="s">
        <v>165</v>
      </c>
      <c r="E530" s="84" t="s">
        <v>267</v>
      </c>
      <c r="F530" s="89">
        <v>30</v>
      </c>
      <c r="G530" s="89">
        <v>29</v>
      </c>
      <c r="H530" s="90">
        <v>4</v>
      </c>
      <c r="I530" s="89">
        <v>42</v>
      </c>
      <c r="J530" s="89">
        <v>41</v>
      </c>
      <c r="K530" s="90">
        <v>6</v>
      </c>
      <c r="L530" s="86"/>
      <c r="M530" s="86"/>
      <c r="N530" s="87"/>
      <c r="O530" s="86"/>
      <c r="P530" s="86"/>
      <c r="Q530" s="87"/>
    </row>
    <row r="531" spans="1:17" ht="45" customHeight="1">
      <c r="A531" s="81">
        <v>76</v>
      </c>
      <c r="B531" s="82"/>
      <c r="C531" s="104" t="s">
        <v>350</v>
      </c>
      <c r="D531" s="104" t="s">
        <v>165</v>
      </c>
      <c r="E531" s="84" t="s">
        <v>267</v>
      </c>
      <c r="F531" s="85"/>
      <c r="G531" s="85"/>
      <c r="H531" s="88"/>
      <c r="I531" s="85"/>
      <c r="J531" s="85"/>
      <c r="K531" s="88"/>
      <c r="L531" s="86"/>
      <c r="M531" s="86"/>
      <c r="N531" s="87"/>
      <c r="O531" s="86"/>
      <c r="P531" s="86"/>
      <c r="Q531" s="87"/>
    </row>
    <row r="532" spans="1:17" ht="14.45" customHeight="1">
      <c r="A532" s="81">
        <v>76</v>
      </c>
      <c r="B532" s="82"/>
      <c r="C532" s="104" t="s">
        <v>350</v>
      </c>
      <c r="D532" s="104" t="s">
        <v>165</v>
      </c>
      <c r="E532" s="84" t="s">
        <v>267</v>
      </c>
      <c r="F532" s="89">
        <v>14</v>
      </c>
      <c r="G532" s="85"/>
      <c r="H532" s="88"/>
      <c r="I532" s="89">
        <v>20</v>
      </c>
      <c r="J532" s="85"/>
      <c r="K532" s="88"/>
      <c r="L532" s="86"/>
      <c r="M532" s="86"/>
      <c r="N532" s="87"/>
      <c r="O532" s="86"/>
      <c r="P532" s="86"/>
      <c r="Q532" s="87"/>
    </row>
    <row r="533" spans="1:17" ht="24" customHeight="1">
      <c r="A533" s="91">
        <v>76</v>
      </c>
      <c r="B533" s="92"/>
      <c r="C533" s="105" t="s">
        <v>350</v>
      </c>
      <c r="D533" s="105" t="s">
        <v>165</v>
      </c>
      <c r="E533" s="94" t="s">
        <v>267</v>
      </c>
      <c r="F533" s="95" t="s">
        <v>56</v>
      </c>
      <c r="G533" s="96">
        <v>6240</v>
      </c>
      <c r="H533" s="97">
        <v>6240</v>
      </c>
      <c r="I533" s="95" t="s">
        <v>56</v>
      </c>
      <c r="J533" s="96">
        <v>8890</v>
      </c>
      <c r="K533" s="97">
        <v>8890</v>
      </c>
      <c r="L533" s="98"/>
      <c r="M533" s="98"/>
      <c r="N533" s="99"/>
      <c r="O533" s="98"/>
      <c r="P533" s="98"/>
      <c r="Q533" s="99"/>
    </row>
    <row r="534" spans="1:17" ht="14.45" customHeight="1">
      <c r="A534" s="75">
        <v>77</v>
      </c>
      <c r="B534" s="76"/>
      <c r="C534" s="103" t="s">
        <v>348</v>
      </c>
      <c r="D534" s="103" t="s">
        <v>165</v>
      </c>
      <c r="E534" s="78" t="s">
        <v>267</v>
      </c>
      <c r="F534" s="79" t="s">
        <v>50</v>
      </c>
      <c r="G534" s="79" t="s">
        <v>50</v>
      </c>
      <c r="H534" s="80" t="s">
        <v>50</v>
      </c>
      <c r="I534" s="79" t="s">
        <v>51</v>
      </c>
      <c r="J534" s="79" t="s">
        <v>51</v>
      </c>
      <c r="K534" s="80" t="s">
        <v>51</v>
      </c>
      <c r="L534" s="79"/>
      <c r="M534" s="79"/>
      <c r="N534" s="80"/>
      <c r="O534" s="79"/>
      <c r="P534" s="79"/>
      <c r="Q534" s="80"/>
    </row>
    <row r="535" spans="1:17" ht="60" customHeight="1">
      <c r="A535" s="81">
        <v>77</v>
      </c>
      <c r="B535" s="82"/>
      <c r="C535" s="104" t="s">
        <v>348</v>
      </c>
      <c r="D535" s="104" t="s">
        <v>165</v>
      </c>
      <c r="E535" s="84" t="s">
        <v>267</v>
      </c>
      <c r="F535" s="85"/>
      <c r="G535" s="86" t="s">
        <v>362</v>
      </c>
      <c r="H535" s="87" t="s">
        <v>362</v>
      </c>
      <c r="I535" s="85"/>
      <c r="J535" s="86"/>
      <c r="K535" s="87"/>
      <c r="L535" s="86"/>
      <c r="M535" s="86"/>
      <c r="N535" s="87"/>
      <c r="O535" s="86"/>
      <c r="P535" s="86"/>
      <c r="Q535" s="87"/>
    </row>
    <row r="536" spans="1:17" ht="45" customHeight="1">
      <c r="A536" s="81">
        <v>77</v>
      </c>
      <c r="B536" s="82"/>
      <c r="C536" s="104" t="s">
        <v>348</v>
      </c>
      <c r="D536" s="104" t="s">
        <v>165</v>
      </c>
      <c r="E536" s="84" t="s">
        <v>267</v>
      </c>
      <c r="F536" s="85"/>
      <c r="G536" s="85"/>
      <c r="H536" s="88"/>
      <c r="I536" s="85"/>
      <c r="J536" s="85"/>
      <c r="K536" s="88"/>
      <c r="L536" s="86"/>
      <c r="M536" s="86"/>
      <c r="N536" s="87"/>
      <c r="O536" s="86"/>
      <c r="P536" s="86"/>
      <c r="Q536" s="87"/>
    </row>
    <row r="537" spans="1:17" ht="14.45" customHeight="1">
      <c r="A537" s="81">
        <v>77</v>
      </c>
      <c r="B537" s="82"/>
      <c r="C537" s="104" t="s">
        <v>348</v>
      </c>
      <c r="D537" s="104" t="s">
        <v>165</v>
      </c>
      <c r="E537" s="84" t="s">
        <v>267</v>
      </c>
      <c r="F537" s="89">
        <v>30</v>
      </c>
      <c r="G537" s="89">
        <v>29</v>
      </c>
      <c r="H537" s="90">
        <v>4</v>
      </c>
      <c r="I537" s="89">
        <v>42</v>
      </c>
      <c r="J537" s="89">
        <v>41</v>
      </c>
      <c r="K537" s="90">
        <v>6</v>
      </c>
      <c r="L537" s="86"/>
      <c r="M537" s="86"/>
      <c r="N537" s="87"/>
      <c r="O537" s="86"/>
      <c r="P537" s="86"/>
      <c r="Q537" s="87"/>
    </row>
    <row r="538" spans="1:17" ht="45" customHeight="1">
      <c r="A538" s="81">
        <v>77</v>
      </c>
      <c r="B538" s="82"/>
      <c r="C538" s="104" t="s">
        <v>348</v>
      </c>
      <c r="D538" s="104" t="s">
        <v>165</v>
      </c>
      <c r="E538" s="84" t="s">
        <v>267</v>
      </c>
      <c r="F538" s="85"/>
      <c r="G538" s="85"/>
      <c r="H538" s="88"/>
      <c r="I538" s="85"/>
      <c r="J538" s="85"/>
      <c r="K538" s="88"/>
      <c r="L538" s="86"/>
      <c r="M538" s="86"/>
      <c r="N538" s="87"/>
      <c r="O538" s="86"/>
      <c r="P538" s="86"/>
      <c r="Q538" s="87"/>
    </row>
    <row r="539" spans="1:17" ht="14.45" customHeight="1">
      <c r="A539" s="81">
        <v>77</v>
      </c>
      <c r="B539" s="82"/>
      <c r="C539" s="104" t="s">
        <v>348</v>
      </c>
      <c r="D539" s="104" t="s">
        <v>165</v>
      </c>
      <c r="E539" s="84" t="s">
        <v>267</v>
      </c>
      <c r="F539" s="89">
        <v>14</v>
      </c>
      <c r="G539" s="85"/>
      <c r="H539" s="88"/>
      <c r="I539" s="89">
        <v>20</v>
      </c>
      <c r="J539" s="85"/>
      <c r="K539" s="88"/>
      <c r="L539" s="86"/>
      <c r="M539" s="86"/>
      <c r="N539" s="87"/>
      <c r="O539" s="86"/>
      <c r="P539" s="86"/>
      <c r="Q539" s="87"/>
    </row>
    <row r="540" spans="1:17" ht="24" customHeight="1">
      <c r="A540" s="91">
        <v>77</v>
      </c>
      <c r="B540" s="92"/>
      <c r="C540" s="105" t="s">
        <v>348</v>
      </c>
      <c r="D540" s="105" t="s">
        <v>165</v>
      </c>
      <c r="E540" s="94" t="s">
        <v>267</v>
      </c>
      <c r="F540" s="95" t="s">
        <v>56</v>
      </c>
      <c r="G540" s="96">
        <v>6240</v>
      </c>
      <c r="H540" s="97">
        <v>6240</v>
      </c>
      <c r="I540" s="95" t="s">
        <v>56</v>
      </c>
      <c r="J540" s="96">
        <v>8890</v>
      </c>
      <c r="K540" s="97">
        <v>8890</v>
      </c>
      <c r="L540" s="98"/>
      <c r="M540" s="98"/>
      <c r="N540" s="99"/>
      <c r="O540" s="98"/>
      <c r="P540" s="98"/>
      <c r="Q540" s="99"/>
    </row>
    <row r="541" spans="1:17" ht="14.45" customHeight="1">
      <c r="A541" s="75">
        <v>78</v>
      </c>
      <c r="B541" s="76"/>
      <c r="C541" s="103" t="s">
        <v>344</v>
      </c>
      <c r="D541" s="103" t="s">
        <v>165</v>
      </c>
      <c r="E541" s="78" t="s">
        <v>267</v>
      </c>
      <c r="F541" s="79" t="s">
        <v>50</v>
      </c>
      <c r="G541" s="79" t="s">
        <v>50</v>
      </c>
      <c r="H541" s="80" t="s">
        <v>50</v>
      </c>
      <c r="I541" s="79" t="s">
        <v>51</v>
      </c>
      <c r="J541" s="79" t="s">
        <v>51</v>
      </c>
      <c r="K541" s="80" t="s">
        <v>51</v>
      </c>
      <c r="L541" s="79"/>
      <c r="M541" s="79"/>
      <c r="N541" s="80"/>
      <c r="O541" s="79"/>
      <c r="P541" s="79"/>
      <c r="Q541" s="80"/>
    </row>
    <row r="542" spans="1:17" ht="60" customHeight="1">
      <c r="A542" s="81">
        <v>78</v>
      </c>
      <c r="B542" s="82"/>
      <c r="C542" s="104" t="s">
        <v>344</v>
      </c>
      <c r="D542" s="104" t="s">
        <v>165</v>
      </c>
      <c r="E542" s="84" t="s">
        <v>267</v>
      </c>
      <c r="F542" s="85"/>
      <c r="G542" s="86" t="s">
        <v>364</v>
      </c>
      <c r="H542" s="87" t="s">
        <v>364</v>
      </c>
      <c r="I542" s="85"/>
      <c r="J542" s="86"/>
      <c r="K542" s="87"/>
      <c r="L542" s="86"/>
      <c r="M542" s="86"/>
      <c r="N542" s="87"/>
      <c r="O542" s="86"/>
      <c r="P542" s="86"/>
      <c r="Q542" s="87"/>
    </row>
    <row r="543" spans="1:17" ht="45" customHeight="1">
      <c r="A543" s="81">
        <v>78</v>
      </c>
      <c r="B543" s="82"/>
      <c r="C543" s="104" t="s">
        <v>344</v>
      </c>
      <c r="D543" s="104" t="s">
        <v>165</v>
      </c>
      <c r="E543" s="84" t="s">
        <v>267</v>
      </c>
      <c r="F543" s="85"/>
      <c r="G543" s="85"/>
      <c r="H543" s="88"/>
      <c r="I543" s="85"/>
      <c r="J543" s="85"/>
      <c r="K543" s="88"/>
      <c r="L543" s="86"/>
      <c r="M543" s="86"/>
      <c r="N543" s="87"/>
      <c r="O543" s="86"/>
      <c r="P543" s="86"/>
      <c r="Q543" s="87"/>
    </row>
    <row r="544" spans="1:17" ht="14.45" customHeight="1">
      <c r="A544" s="81">
        <v>78</v>
      </c>
      <c r="B544" s="82"/>
      <c r="C544" s="104" t="s">
        <v>344</v>
      </c>
      <c r="D544" s="104" t="s">
        <v>165</v>
      </c>
      <c r="E544" s="84" t="s">
        <v>267</v>
      </c>
      <c r="F544" s="89">
        <v>30</v>
      </c>
      <c r="G544" s="89">
        <v>29</v>
      </c>
      <c r="H544" s="90">
        <v>4</v>
      </c>
      <c r="I544" s="89">
        <v>42</v>
      </c>
      <c r="J544" s="89">
        <v>41</v>
      </c>
      <c r="K544" s="90">
        <v>6</v>
      </c>
      <c r="L544" s="86"/>
      <c r="M544" s="86"/>
      <c r="N544" s="87"/>
      <c r="O544" s="86"/>
      <c r="P544" s="86"/>
      <c r="Q544" s="87"/>
    </row>
    <row r="545" spans="1:17" ht="45" customHeight="1">
      <c r="A545" s="81">
        <v>78</v>
      </c>
      <c r="B545" s="82"/>
      <c r="C545" s="104" t="s">
        <v>344</v>
      </c>
      <c r="D545" s="104" t="s">
        <v>165</v>
      </c>
      <c r="E545" s="84" t="s">
        <v>267</v>
      </c>
      <c r="F545" s="85"/>
      <c r="G545" s="85"/>
      <c r="H545" s="88"/>
      <c r="I545" s="85"/>
      <c r="J545" s="85"/>
      <c r="K545" s="88"/>
      <c r="L545" s="86"/>
      <c r="M545" s="86"/>
      <c r="N545" s="87"/>
      <c r="O545" s="86"/>
      <c r="P545" s="86"/>
      <c r="Q545" s="87"/>
    </row>
    <row r="546" spans="1:17" ht="14.45" customHeight="1">
      <c r="A546" s="81">
        <v>78</v>
      </c>
      <c r="B546" s="82"/>
      <c r="C546" s="104" t="s">
        <v>344</v>
      </c>
      <c r="D546" s="104" t="s">
        <v>165</v>
      </c>
      <c r="E546" s="84" t="s">
        <v>267</v>
      </c>
      <c r="F546" s="89">
        <v>14</v>
      </c>
      <c r="G546" s="85"/>
      <c r="H546" s="88"/>
      <c r="I546" s="89">
        <v>20</v>
      </c>
      <c r="J546" s="85"/>
      <c r="K546" s="88"/>
      <c r="L546" s="86"/>
      <c r="M546" s="86"/>
      <c r="N546" s="87"/>
      <c r="O546" s="86"/>
      <c r="P546" s="86"/>
      <c r="Q546" s="87"/>
    </row>
    <row r="547" spans="1:17" ht="24" customHeight="1">
      <c r="A547" s="91">
        <v>78</v>
      </c>
      <c r="B547" s="92"/>
      <c r="C547" s="105" t="s">
        <v>344</v>
      </c>
      <c r="D547" s="105" t="s">
        <v>165</v>
      </c>
      <c r="E547" s="94" t="s">
        <v>267</v>
      </c>
      <c r="F547" s="95" t="s">
        <v>56</v>
      </c>
      <c r="G547" s="96">
        <v>6240</v>
      </c>
      <c r="H547" s="97">
        <v>6240</v>
      </c>
      <c r="I547" s="95" t="s">
        <v>56</v>
      </c>
      <c r="J547" s="96">
        <v>8890</v>
      </c>
      <c r="K547" s="97">
        <v>8890</v>
      </c>
      <c r="L547" s="98"/>
      <c r="M547" s="98"/>
      <c r="N547" s="99"/>
      <c r="O547" s="98"/>
      <c r="P547" s="98"/>
      <c r="Q547" s="99"/>
    </row>
    <row r="548" spans="1:17" ht="14.45" customHeight="1">
      <c r="A548" s="75">
        <v>79</v>
      </c>
      <c r="B548" s="76"/>
      <c r="C548" s="103" t="s">
        <v>347</v>
      </c>
      <c r="D548" s="103" t="s">
        <v>165</v>
      </c>
      <c r="E548" s="78" t="s">
        <v>267</v>
      </c>
      <c r="F548" s="79" t="s">
        <v>50</v>
      </c>
      <c r="G548" s="79" t="s">
        <v>50</v>
      </c>
      <c r="H548" s="80" t="s">
        <v>50</v>
      </c>
      <c r="I548" s="79" t="s">
        <v>51</v>
      </c>
      <c r="J548" s="79" t="s">
        <v>51</v>
      </c>
      <c r="K548" s="80" t="s">
        <v>51</v>
      </c>
      <c r="L548" s="79"/>
      <c r="M548" s="79"/>
      <c r="N548" s="80"/>
      <c r="O548" s="79"/>
      <c r="P548" s="79"/>
      <c r="Q548" s="80"/>
    </row>
    <row r="549" spans="1:17" ht="60" customHeight="1">
      <c r="A549" s="81">
        <v>79</v>
      </c>
      <c r="B549" s="82"/>
      <c r="C549" s="104" t="s">
        <v>347</v>
      </c>
      <c r="D549" s="104" t="s">
        <v>165</v>
      </c>
      <c r="E549" s="84" t="s">
        <v>267</v>
      </c>
      <c r="F549" s="85"/>
      <c r="G549" s="86" t="s">
        <v>365</v>
      </c>
      <c r="H549" s="87" t="s">
        <v>365</v>
      </c>
      <c r="I549" s="85"/>
      <c r="J549" s="86"/>
      <c r="K549" s="87"/>
      <c r="L549" s="86"/>
      <c r="M549" s="86"/>
      <c r="N549" s="87"/>
      <c r="O549" s="86"/>
      <c r="P549" s="86"/>
      <c r="Q549" s="87"/>
    </row>
    <row r="550" spans="1:17" ht="45" customHeight="1">
      <c r="A550" s="81">
        <v>79</v>
      </c>
      <c r="B550" s="82"/>
      <c r="C550" s="104" t="s">
        <v>347</v>
      </c>
      <c r="D550" s="104" t="s">
        <v>165</v>
      </c>
      <c r="E550" s="84" t="s">
        <v>267</v>
      </c>
      <c r="F550" s="85"/>
      <c r="G550" s="85"/>
      <c r="H550" s="88"/>
      <c r="I550" s="85"/>
      <c r="J550" s="85"/>
      <c r="K550" s="88"/>
      <c r="L550" s="86"/>
      <c r="M550" s="86"/>
      <c r="N550" s="87"/>
      <c r="O550" s="86"/>
      <c r="P550" s="86"/>
      <c r="Q550" s="87"/>
    </row>
    <row r="551" spans="1:17" ht="14.45" customHeight="1">
      <c r="A551" s="81">
        <v>79</v>
      </c>
      <c r="B551" s="82"/>
      <c r="C551" s="104" t="s">
        <v>347</v>
      </c>
      <c r="D551" s="104" t="s">
        <v>165</v>
      </c>
      <c r="E551" s="84" t="s">
        <v>267</v>
      </c>
      <c r="F551" s="89">
        <v>30</v>
      </c>
      <c r="G551" s="89">
        <v>29</v>
      </c>
      <c r="H551" s="90">
        <v>4</v>
      </c>
      <c r="I551" s="89">
        <v>42</v>
      </c>
      <c r="J551" s="89">
        <v>41</v>
      </c>
      <c r="K551" s="90">
        <v>6</v>
      </c>
      <c r="L551" s="86"/>
      <c r="M551" s="86"/>
      <c r="N551" s="87"/>
      <c r="O551" s="86"/>
      <c r="P551" s="86"/>
      <c r="Q551" s="87"/>
    </row>
    <row r="552" spans="1:17" ht="45" customHeight="1">
      <c r="A552" s="81">
        <v>79</v>
      </c>
      <c r="B552" s="82"/>
      <c r="C552" s="104" t="s">
        <v>347</v>
      </c>
      <c r="D552" s="104" t="s">
        <v>165</v>
      </c>
      <c r="E552" s="84" t="s">
        <v>267</v>
      </c>
      <c r="F552" s="85"/>
      <c r="G552" s="85"/>
      <c r="H552" s="88"/>
      <c r="I552" s="85"/>
      <c r="J552" s="85"/>
      <c r="K552" s="88"/>
      <c r="L552" s="86"/>
      <c r="M552" s="86"/>
      <c r="N552" s="87"/>
      <c r="O552" s="86"/>
      <c r="P552" s="86"/>
      <c r="Q552" s="87"/>
    </row>
    <row r="553" spans="1:17" ht="14.45" customHeight="1">
      <c r="A553" s="81">
        <v>79</v>
      </c>
      <c r="B553" s="82"/>
      <c r="C553" s="104" t="s">
        <v>347</v>
      </c>
      <c r="D553" s="104" t="s">
        <v>165</v>
      </c>
      <c r="E553" s="84" t="s">
        <v>267</v>
      </c>
      <c r="F553" s="89">
        <v>14</v>
      </c>
      <c r="G553" s="85"/>
      <c r="H553" s="88"/>
      <c r="I553" s="89">
        <v>20</v>
      </c>
      <c r="J553" s="85"/>
      <c r="K553" s="88"/>
      <c r="L553" s="86"/>
      <c r="M553" s="86"/>
      <c r="N553" s="87"/>
      <c r="O553" s="86"/>
      <c r="P553" s="86"/>
      <c r="Q553" s="87"/>
    </row>
    <row r="554" spans="1:17" ht="24" customHeight="1">
      <c r="A554" s="91">
        <v>79</v>
      </c>
      <c r="B554" s="92"/>
      <c r="C554" s="105" t="s">
        <v>347</v>
      </c>
      <c r="D554" s="105" t="s">
        <v>165</v>
      </c>
      <c r="E554" s="94" t="s">
        <v>267</v>
      </c>
      <c r="F554" s="95" t="s">
        <v>56</v>
      </c>
      <c r="G554" s="96">
        <v>6240</v>
      </c>
      <c r="H554" s="97">
        <v>6240</v>
      </c>
      <c r="I554" s="95" t="s">
        <v>56</v>
      </c>
      <c r="J554" s="96">
        <v>8890</v>
      </c>
      <c r="K554" s="97">
        <v>8890</v>
      </c>
      <c r="L554" s="98"/>
      <c r="M554" s="98"/>
      <c r="N554" s="99"/>
      <c r="O554" s="98"/>
      <c r="P554" s="98"/>
      <c r="Q554" s="99"/>
    </row>
    <row r="555" spans="1:17" ht="14.45" customHeight="1">
      <c r="A555" s="75">
        <v>80</v>
      </c>
      <c r="B555" s="76"/>
      <c r="C555" s="103" t="s">
        <v>346</v>
      </c>
      <c r="D555" s="103" t="s">
        <v>165</v>
      </c>
      <c r="E555" s="78" t="s">
        <v>267</v>
      </c>
      <c r="F555" s="79" t="s">
        <v>50</v>
      </c>
      <c r="G555" s="79" t="s">
        <v>50</v>
      </c>
      <c r="H555" s="80" t="s">
        <v>50</v>
      </c>
      <c r="I555" s="79" t="s">
        <v>51</v>
      </c>
      <c r="J555" s="79" t="s">
        <v>51</v>
      </c>
      <c r="K555" s="80" t="s">
        <v>51</v>
      </c>
      <c r="L555" s="79"/>
      <c r="M555" s="79"/>
      <c r="N555" s="80"/>
      <c r="O555" s="79"/>
      <c r="P555" s="79"/>
      <c r="Q555" s="80"/>
    </row>
    <row r="556" spans="1:17" ht="60" customHeight="1">
      <c r="A556" s="81">
        <v>80</v>
      </c>
      <c r="B556" s="82"/>
      <c r="C556" s="104" t="s">
        <v>346</v>
      </c>
      <c r="D556" s="104" t="s">
        <v>165</v>
      </c>
      <c r="E556" s="84" t="s">
        <v>267</v>
      </c>
      <c r="F556" s="85"/>
      <c r="G556" s="86" t="s">
        <v>365</v>
      </c>
      <c r="H556" s="87" t="s">
        <v>365</v>
      </c>
      <c r="I556" s="85"/>
      <c r="J556" s="86"/>
      <c r="K556" s="87"/>
      <c r="L556" s="86"/>
      <c r="M556" s="86"/>
      <c r="N556" s="87"/>
      <c r="O556" s="86"/>
      <c r="P556" s="86"/>
      <c r="Q556" s="87"/>
    </row>
    <row r="557" spans="1:17" ht="45" customHeight="1">
      <c r="A557" s="81">
        <v>80</v>
      </c>
      <c r="B557" s="82"/>
      <c r="C557" s="104" t="s">
        <v>346</v>
      </c>
      <c r="D557" s="104" t="s">
        <v>165</v>
      </c>
      <c r="E557" s="84" t="s">
        <v>267</v>
      </c>
      <c r="F557" s="85"/>
      <c r="G557" s="85"/>
      <c r="H557" s="88"/>
      <c r="I557" s="85"/>
      <c r="J557" s="85"/>
      <c r="K557" s="88"/>
      <c r="L557" s="86"/>
      <c r="M557" s="86"/>
      <c r="N557" s="87"/>
      <c r="O557" s="86"/>
      <c r="P557" s="86"/>
      <c r="Q557" s="87"/>
    </row>
    <row r="558" spans="1:17" ht="14.45" customHeight="1">
      <c r="A558" s="81">
        <v>80</v>
      </c>
      <c r="B558" s="82"/>
      <c r="C558" s="104" t="s">
        <v>346</v>
      </c>
      <c r="D558" s="104" t="s">
        <v>165</v>
      </c>
      <c r="E558" s="84" t="s">
        <v>267</v>
      </c>
      <c r="F558" s="89">
        <v>30</v>
      </c>
      <c r="G558" s="89">
        <v>29</v>
      </c>
      <c r="H558" s="90">
        <v>4</v>
      </c>
      <c r="I558" s="89">
        <v>42</v>
      </c>
      <c r="J558" s="89">
        <v>41</v>
      </c>
      <c r="K558" s="90">
        <v>6</v>
      </c>
      <c r="L558" s="86"/>
      <c r="M558" s="86"/>
      <c r="N558" s="87"/>
      <c r="O558" s="86"/>
      <c r="P558" s="86"/>
      <c r="Q558" s="87"/>
    </row>
    <row r="559" spans="1:17" ht="45" customHeight="1">
      <c r="A559" s="81">
        <v>80</v>
      </c>
      <c r="B559" s="82"/>
      <c r="C559" s="104" t="s">
        <v>346</v>
      </c>
      <c r="D559" s="104" t="s">
        <v>165</v>
      </c>
      <c r="E559" s="84" t="s">
        <v>267</v>
      </c>
      <c r="F559" s="85"/>
      <c r="G559" s="85"/>
      <c r="H559" s="88"/>
      <c r="I559" s="85"/>
      <c r="J559" s="85"/>
      <c r="K559" s="88"/>
      <c r="L559" s="86"/>
      <c r="M559" s="86"/>
      <c r="N559" s="87"/>
      <c r="O559" s="86"/>
      <c r="P559" s="86"/>
      <c r="Q559" s="87"/>
    </row>
    <row r="560" spans="1:17" ht="14.45" customHeight="1">
      <c r="A560" s="81">
        <v>80</v>
      </c>
      <c r="B560" s="82"/>
      <c r="C560" s="104" t="s">
        <v>346</v>
      </c>
      <c r="D560" s="104" t="s">
        <v>165</v>
      </c>
      <c r="E560" s="84" t="s">
        <v>267</v>
      </c>
      <c r="F560" s="89">
        <v>14</v>
      </c>
      <c r="G560" s="85"/>
      <c r="H560" s="88"/>
      <c r="I560" s="89">
        <v>20</v>
      </c>
      <c r="J560" s="85"/>
      <c r="K560" s="88"/>
      <c r="L560" s="86"/>
      <c r="M560" s="86"/>
      <c r="N560" s="87"/>
      <c r="O560" s="86"/>
      <c r="P560" s="86"/>
      <c r="Q560" s="87"/>
    </row>
    <row r="561" spans="1:17" ht="24" customHeight="1">
      <c r="A561" s="91">
        <v>80</v>
      </c>
      <c r="B561" s="92"/>
      <c r="C561" s="105" t="s">
        <v>346</v>
      </c>
      <c r="D561" s="105" t="s">
        <v>165</v>
      </c>
      <c r="E561" s="94" t="s">
        <v>267</v>
      </c>
      <c r="F561" s="95" t="s">
        <v>56</v>
      </c>
      <c r="G561" s="96">
        <v>6240</v>
      </c>
      <c r="H561" s="97">
        <v>6240</v>
      </c>
      <c r="I561" s="95" t="s">
        <v>56</v>
      </c>
      <c r="J561" s="96">
        <v>8890</v>
      </c>
      <c r="K561" s="97">
        <v>8890</v>
      </c>
      <c r="L561" s="98"/>
      <c r="M561" s="98"/>
      <c r="N561" s="99"/>
      <c r="O561" s="98"/>
      <c r="P561" s="98"/>
      <c r="Q561" s="99"/>
    </row>
    <row r="562" spans="1:17" ht="14.45" customHeight="1">
      <c r="A562" s="75">
        <v>81</v>
      </c>
      <c r="B562" s="76"/>
      <c r="C562" s="103" t="s">
        <v>343</v>
      </c>
      <c r="D562" s="103" t="s">
        <v>165</v>
      </c>
      <c r="E562" s="78" t="s">
        <v>267</v>
      </c>
      <c r="F562" s="79" t="s">
        <v>50</v>
      </c>
      <c r="G562" s="79" t="s">
        <v>50</v>
      </c>
      <c r="H562" s="80" t="s">
        <v>50</v>
      </c>
      <c r="I562" s="79" t="s">
        <v>51</v>
      </c>
      <c r="J562" s="79" t="s">
        <v>51</v>
      </c>
      <c r="K562" s="80" t="s">
        <v>51</v>
      </c>
      <c r="L562" s="79"/>
      <c r="M562" s="79"/>
      <c r="N562" s="80"/>
      <c r="O562" s="79"/>
      <c r="P562" s="79"/>
      <c r="Q562" s="80"/>
    </row>
    <row r="563" spans="1:17" ht="60" customHeight="1">
      <c r="A563" s="81">
        <v>81</v>
      </c>
      <c r="B563" s="82"/>
      <c r="C563" s="104" t="s">
        <v>343</v>
      </c>
      <c r="D563" s="104" t="s">
        <v>165</v>
      </c>
      <c r="E563" s="84" t="s">
        <v>267</v>
      </c>
      <c r="F563" s="85"/>
      <c r="G563" s="86" t="s">
        <v>366</v>
      </c>
      <c r="H563" s="87" t="s">
        <v>366</v>
      </c>
      <c r="I563" s="85"/>
      <c r="J563" s="86"/>
      <c r="K563" s="87"/>
      <c r="L563" s="86"/>
      <c r="M563" s="86"/>
      <c r="N563" s="87"/>
      <c r="O563" s="86"/>
      <c r="P563" s="86"/>
      <c r="Q563" s="87"/>
    </row>
    <row r="564" spans="1:17" ht="45" customHeight="1">
      <c r="A564" s="81">
        <v>81</v>
      </c>
      <c r="B564" s="82"/>
      <c r="C564" s="104" t="s">
        <v>343</v>
      </c>
      <c r="D564" s="104" t="s">
        <v>165</v>
      </c>
      <c r="E564" s="84" t="s">
        <v>267</v>
      </c>
      <c r="F564" s="85"/>
      <c r="G564" s="85"/>
      <c r="H564" s="88"/>
      <c r="I564" s="85"/>
      <c r="J564" s="85"/>
      <c r="K564" s="88"/>
      <c r="L564" s="86"/>
      <c r="M564" s="86"/>
      <c r="N564" s="87"/>
      <c r="O564" s="86"/>
      <c r="P564" s="86"/>
      <c r="Q564" s="87"/>
    </row>
    <row r="565" spans="1:17" ht="14.45" customHeight="1">
      <c r="A565" s="81">
        <v>81</v>
      </c>
      <c r="B565" s="82"/>
      <c r="C565" s="104" t="s">
        <v>343</v>
      </c>
      <c r="D565" s="104" t="s">
        <v>165</v>
      </c>
      <c r="E565" s="84" t="s">
        <v>267</v>
      </c>
      <c r="F565" s="89">
        <v>30</v>
      </c>
      <c r="G565" s="89">
        <v>29</v>
      </c>
      <c r="H565" s="90">
        <v>4</v>
      </c>
      <c r="I565" s="89">
        <v>42</v>
      </c>
      <c r="J565" s="89">
        <v>41</v>
      </c>
      <c r="K565" s="90">
        <v>6</v>
      </c>
      <c r="L565" s="86"/>
      <c r="M565" s="86"/>
      <c r="N565" s="87"/>
      <c r="O565" s="86"/>
      <c r="P565" s="86"/>
      <c r="Q565" s="87"/>
    </row>
    <row r="566" spans="1:17" ht="45" customHeight="1">
      <c r="A566" s="81">
        <v>81</v>
      </c>
      <c r="B566" s="82"/>
      <c r="C566" s="104" t="s">
        <v>343</v>
      </c>
      <c r="D566" s="104" t="s">
        <v>165</v>
      </c>
      <c r="E566" s="84" t="s">
        <v>267</v>
      </c>
      <c r="F566" s="85"/>
      <c r="G566" s="85"/>
      <c r="H566" s="88"/>
      <c r="I566" s="85"/>
      <c r="J566" s="85"/>
      <c r="K566" s="88"/>
      <c r="L566" s="86"/>
      <c r="M566" s="86"/>
      <c r="N566" s="87"/>
      <c r="O566" s="86"/>
      <c r="P566" s="86"/>
      <c r="Q566" s="87"/>
    </row>
    <row r="567" spans="1:17" ht="14.45" customHeight="1">
      <c r="A567" s="81">
        <v>81</v>
      </c>
      <c r="B567" s="82"/>
      <c r="C567" s="104" t="s">
        <v>343</v>
      </c>
      <c r="D567" s="104" t="s">
        <v>165</v>
      </c>
      <c r="E567" s="84" t="s">
        <v>267</v>
      </c>
      <c r="F567" s="89">
        <v>14</v>
      </c>
      <c r="G567" s="85"/>
      <c r="H567" s="88"/>
      <c r="I567" s="89">
        <v>20</v>
      </c>
      <c r="J567" s="85"/>
      <c r="K567" s="88"/>
      <c r="L567" s="86"/>
      <c r="M567" s="86"/>
      <c r="N567" s="87"/>
      <c r="O567" s="86"/>
      <c r="P567" s="86"/>
      <c r="Q567" s="87"/>
    </row>
    <row r="568" spans="1:17" ht="24" customHeight="1">
      <c r="A568" s="91">
        <v>81</v>
      </c>
      <c r="B568" s="92"/>
      <c r="C568" s="105" t="s">
        <v>343</v>
      </c>
      <c r="D568" s="105" t="s">
        <v>165</v>
      </c>
      <c r="E568" s="94" t="s">
        <v>267</v>
      </c>
      <c r="F568" s="95" t="s">
        <v>56</v>
      </c>
      <c r="G568" s="96">
        <v>6240</v>
      </c>
      <c r="H568" s="97">
        <v>6240</v>
      </c>
      <c r="I568" s="95" t="s">
        <v>56</v>
      </c>
      <c r="J568" s="96">
        <v>8890</v>
      </c>
      <c r="K568" s="97">
        <v>8890</v>
      </c>
      <c r="L568" s="98"/>
      <c r="M568" s="98"/>
      <c r="N568" s="99"/>
      <c r="O568" s="98"/>
      <c r="P568" s="98"/>
      <c r="Q568" s="99"/>
    </row>
    <row r="569" spans="1:17" ht="14.45" customHeight="1">
      <c r="A569" s="75">
        <v>82</v>
      </c>
      <c r="B569" s="76"/>
      <c r="C569" s="103" t="s">
        <v>351</v>
      </c>
      <c r="D569" s="103" t="s">
        <v>165</v>
      </c>
      <c r="E569" s="78" t="s">
        <v>267</v>
      </c>
      <c r="F569" s="79" t="s">
        <v>50</v>
      </c>
      <c r="G569" s="79" t="s">
        <v>50</v>
      </c>
      <c r="H569" s="80" t="s">
        <v>50</v>
      </c>
      <c r="I569" s="79" t="s">
        <v>51</v>
      </c>
      <c r="J569" s="79" t="s">
        <v>51</v>
      </c>
      <c r="K569" s="80" t="s">
        <v>51</v>
      </c>
      <c r="L569" s="79"/>
      <c r="M569" s="79"/>
      <c r="N569" s="80"/>
      <c r="O569" s="79"/>
      <c r="P569" s="79"/>
      <c r="Q569" s="80"/>
    </row>
    <row r="570" spans="1:17" ht="60" customHeight="1">
      <c r="A570" s="81">
        <v>82</v>
      </c>
      <c r="B570" s="82"/>
      <c r="C570" s="104" t="s">
        <v>351</v>
      </c>
      <c r="D570" s="104" t="s">
        <v>165</v>
      </c>
      <c r="E570" s="84" t="s">
        <v>267</v>
      </c>
      <c r="F570" s="85"/>
      <c r="G570" s="86" t="s">
        <v>366</v>
      </c>
      <c r="H570" s="87" t="s">
        <v>366</v>
      </c>
      <c r="I570" s="85"/>
      <c r="J570" s="86"/>
      <c r="K570" s="87"/>
      <c r="L570" s="86"/>
      <c r="M570" s="86"/>
      <c r="N570" s="87"/>
      <c r="O570" s="86"/>
      <c r="P570" s="86"/>
      <c r="Q570" s="87"/>
    </row>
    <row r="571" spans="1:17" ht="45" customHeight="1">
      <c r="A571" s="81">
        <v>82</v>
      </c>
      <c r="B571" s="82"/>
      <c r="C571" s="104" t="s">
        <v>351</v>
      </c>
      <c r="D571" s="104" t="s">
        <v>165</v>
      </c>
      <c r="E571" s="84" t="s">
        <v>267</v>
      </c>
      <c r="F571" s="85"/>
      <c r="G571" s="85"/>
      <c r="H571" s="88"/>
      <c r="I571" s="85"/>
      <c r="J571" s="85"/>
      <c r="K571" s="88"/>
      <c r="L571" s="86"/>
      <c r="M571" s="86"/>
      <c r="N571" s="87"/>
      <c r="O571" s="86"/>
      <c r="P571" s="86"/>
      <c r="Q571" s="87"/>
    </row>
    <row r="572" spans="1:17" ht="14.45" customHeight="1">
      <c r="A572" s="81">
        <v>82</v>
      </c>
      <c r="B572" s="82"/>
      <c r="C572" s="104" t="s">
        <v>351</v>
      </c>
      <c r="D572" s="104" t="s">
        <v>165</v>
      </c>
      <c r="E572" s="84" t="s">
        <v>267</v>
      </c>
      <c r="F572" s="89">
        <v>30</v>
      </c>
      <c r="G572" s="89">
        <v>29</v>
      </c>
      <c r="H572" s="90">
        <v>4</v>
      </c>
      <c r="I572" s="89">
        <v>42</v>
      </c>
      <c r="J572" s="89">
        <v>41</v>
      </c>
      <c r="K572" s="90">
        <v>6</v>
      </c>
      <c r="L572" s="86"/>
      <c r="M572" s="86"/>
      <c r="N572" s="87"/>
      <c r="O572" s="86"/>
      <c r="P572" s="86"/>
      <c r="Q572" s="87"/>
    </row>
    <row r="573" spans="1:17" ht="45" customHeight="1">
      <c r="A573" s="81">
        <v>82</v>
      </c>
      <c r="B573" s="82"/>
      <c r="C573" s="104" t="s">
        <v>351</v>
      </c>
      <c r="D573" s="104" t="s">
        <v>165</v>
      </c>
      <c r="E573" s="84" t="s">
        <v>267</v>
      </c>
      <c r="F573" s="85"/>
      <c r="G573" s="85"/>
      <c r="H573" s="88"/>
      <c r="I573" s="85"/>
      <c r="J573" s="85"/>
      <c r="K573" s="88"/>
      <c r="L573" s="86"/>
      <c r="M573" s="86"/>
      <c r="N573" s="87"/>
      <c r="O573" s="86"/>
      <c r="P573" s="86"/>
      <c r="Q573" s="87"/>
    </row>
    <row r="574" spans="1:17" ht="14.45" customHeight="1">
      <c r="A574" s="81">
        <v>82</v>
      </c>
      <c r="B574" s="82"/>
      <c r="C574" s="104" t="s">
        <v>351</v>
      </c>
      <c r="D574" s="104" t="s">
        <v>165</v>
      </c>
      <c r="E574" s="84" t="s">
        <v>267</v>
      </c>
      <c r="F574" s="89">
        <v>14</v>
      </c>
      <c r="G574" s="85"/>
      <c r="H574" s="88"/>
      <c r="I574" s="89">
        <v>20</v>
      </c>
      <c r="J574" s="85"/>
      <c r="K574" s="88"/>
      <c r="L574" s="86"/>
      <c r="M574" s="86"/>
      <c r="N574" s="87"/>
      <c r="O574" s="86"/>
      <c r="P574" s="86"/>
      <c r="Q574" s="87"/>
    </row>
    <row r="575" spans="1:17" ht="24" customHeight="1">
      <c r="A575" s="91">
        <v>82</v>
      </c>
      <c r="B575" s="92"/>
      <c r="C575" s="105" t="s">
        <v>351</v>
      </c>
      <c r="D575" s="105" t="s">
        <v>165</v>
      </c>
      <c r="E575" s="94" t="s">
        <v>267</v>
      </c>
      <c r="F575" s="95" t="s">
        <v>56</v>
      </c>
      <c r="G575" s="96">
        <v>6240</v>
      </c>
      <c r="H575" s="97">
        <v>6240</v>
      </c>
      <c r="I575" s="95" t="s">
        <v>56</v>
      </c>
      <c r="J575" s="96">
        <v>8890</v>
      </c>
      <c r="K575" s="97">
        <v>8890</v>
      </c>
      <c r="L575" s="98"/>
      <c r="M575" s="98"/>
      <c r="N575" s="99"/>
      <c r="O575" s="98"/>
      <c r="P575" s="98"/>
      <c r="Q575" s="99"/>
    </row>
    <row r="576" spans="1:17" ht="14.45" customHeight="1">
      <c r="A576" s="75">
        <v>83</v>
      </c>
      <c r="B576" s="76"/>
      <c r="C576" s="103" t="s">
        <v>349</v>
      </c>
      <c r="D576" s="103" t="s">
        <v>165</v>
      </c>
      <c r="E576" s="78" t="s">
        <v>267</v>
      </c>
      <c r="F576" s="79" t="s">
        <v>50</v>
      </c>
      <c r="G576" s="79" t="s">
        <v>50</v>
      </c>
      <c r="H576" s="80" t="s">
        <v>50</v>
      </c>
      <c r="I576" s="79" t="s">
        <v>51</v>
      </c>
      <c r="J576" s="79" t="s">
        <v>51</v>
      </c>
      <c r="K576" s="80" t="s">
        <v>51</v>
      </c>
      <c r="L576" s="79"/>
      <c r="M576" s="79"/>
      <c r="N576" s="80"/>
      <c r="O576" s="79"/>
      <c r="P576" s="79"/>
      <c r="Q576" s="80"/>
    </row>
    <row r="577" spans="1:17" ht="60" customHeight="1">
      <c r="A577" s="81">
        <v>83</v>
      </c>
      <c r="B577" s="82"/>
      <c r="C577" s="104" t="s">
        <v>349</v>
      </c>
      <c r="D577" s="104" t="s">
        <v>165</v>
      </c>
      <c r="E577" s="84" t="s">
        <v>267</v>
      </c>
      <c r="F577" s="85"/>
      <c r="G577" s="86" t="s">
        <v>363</v>
      </c>
      <c r="H577" s="87" t="s">
        <v>363</v>
      </c>
      <c r="I577" s="85"/>
      <c r="J577" s="86"/>
      <c r="K577" s="87"/>
      <c r="L577" s="86"/>
      <c r="M577" s="86"/>
      <c r="N577" s="87"/>
      <c r="O577" s="86"/>
      <c r="P577" s="86"/>
      <c r="Q577" s="87"/>
    </row>
    <row r="578" spans="1:17" ht="45" customHeight="1">
      <c r="A578" s="81">
        <v>83</v>
      </c>
      <c r="B578" s="82"/>
      <c r="C578" s="104" t="s">
        <v>349</v>
      </c>
      <c r="D578" s="104" t="s">
        <v>165</v>
      </c>
      <c r="E578" s="84" t="s">
        <v>267</v>
      </c>
      <c r="F578" s="85"/>
      <c r="G578" s="85"/>
      <c r="H578" s="88"/>
      <c r="I578" s="85"/>
      <c r="J578" s="85"/>
      <c r="K578" s="88"/>
      <c r="L578" s="86"/>
      <c r="M578" s="86"/>
      <c r="N578" s="87"/>
      <c r="O578" s="86"/>
      <c r="P578" s="86"/>
      <c r="Q578" s="87"/>
    </row>
    <row r="579" spans="1:17" ht="14.45" customHeight="1">
      <c r="A579" s="81">
        <v>83</v>
      </c>
      <c r="B579" s="82"/>
      <c r="C579" s="104" t="s">
        <v>349</v>
      </c>
      <c r="D579" s="104" t="s">
        <v>165</v>
      </c>
      <c r="E579" s="84" t="s">
        <v>267</v>
      </c>
      <c r="F579" s="89">
        <v>30</v>
      </c>
      <c r="G579" s="89">
        <v>29</v>
      </c>
      <c r="H579" s="90">
        <v>4</v>
      </c>
      <c r="I579" s="89">
        <v>42</v>
      </c>
      <c r="J579" s="89">
        <v>41</v>
      </c>
      <c r="K579" s="90">
        <v>6</v>
      </c>
      <c r="L579" s="86"/>
      <c r="M579" s="86"/>
      <c r="N579" s="87"/>
      <c r="O579" s="86"/>
      <c r="P579" s="86"/>
      <c r="Q579" s="87"/>
    </row>
    <row r="580" spans="1:17" ht="45" customHeight="1">
      <c r="A580" s="81">
        <v>83</v>
      </c>
      <c r="B580" s="82"/>
      <c r="C580" s="104" t="s">
        <v>349</v>
      </c>
      <c r="D580" s="104" t="s">
        <v>165</v>
      </c>
      <c r="E580" s="84" t="s">
        <v>267</v>
      </c>
      <c r="F580" s="85"/>
      <c r="G580" s="85"/>
      <c r="H580" s="88"/>
      <c r="I580" s="85"/>
      <c r="J580" s="85"/>
      <c r="K580" s="88"/>
      <c r="L580" s="86"/>
      <c r="M580" s="86"/>
      <c r="N580" s="87"/>
      <c r="O580" s="86"/>
      <c r="P580" s="86"/>
      <c r="Q580" s="87"/>
    </row>
    <row r="581" spans="1:17" ht="14.45" customHeight="1">
      <c r="A581" s="81">
        <v>83</v>
      </c>
      <c r="B581" s="82"/>
      <c r="C581" s="104" t="s">
        <v>349</v>
      </c>
      <c r="D581" s="104" t="s">
        <v>165</v>
      </c>
      <c r="E581" s="84" t="s">
        <v>267</v>
      </c>
      <c r="F581" s="89">
        <v>14</v>
      </c>
      <c r="G581" s="85"/>
      <c r="H581" s="88"/>
      <c r="I581" s="89">
        <v>20</v>
      </c>
      <c r="J581" s="85"/>
      <c r="K581" s="88"/>
      <c r="L581" s="86"/>
      <c r="M581" s="86"/>
      <c r="N581" s="87"/>
      <c r="O581" s="86"/>
      <c r="P581" s="86"/>
      <c r="Q581" s="87"/>
    </row>
    <row r="582" spans="1:17" ht="24" customHeight="1">
      <c r="A582" s="91">
        <v>83</v>
      </c>
      <c r="B582" s="92"/>
      <c r="C582" s="105" t="s">
        <v>349</v>
      </c>
      <c r="D582" s="105" t="s">
        <v>165</v>
      </c>
      <c r="E582" s="94" t="s">
        <v>267</v>
      </c>
      <c r="F582" s="95" t="s">
        <v>56</v>
      </c>
      <c r="G582" s="96">
        <v>6240</v>
      </c>
      <c r="H582" s="97">
        <v>6240</v>
      </c>
      <c r="I582" s="95" t="s">
        <v>56</v>
      </c>
      <c r="J582" s="96">
        <v>8890</v>
      </c>
      <c r="K582" s="97">
        <v>8890</v>
      </c>
      <c r="L582" s="98"/>
      <c r="M582" s="98"/>
      <c r="N582" s="99"/>
      <c r="O582" s="98"/>
      <c r="P582" s="98"/>
      <c r="Q582" s="99"/>
    </row>
    <row r="583" spans="1:17" ht="14.45" customHeight="1">
      <c r="A583" s="75">
        <v>84</v>
      </c>
      <c r="B583" s="76"/>
      <c r="C583" s="103" t="s">
        <v>367</v>
      </c>
      <c r="D583" s="103" t="s">
        <v>165</v>
      </c>
      <c r="E583" s="78" t="s">
        <v>341</v>
      </c>
      <c r="F583" s="79" t="s">
        <v>50</v>
      </c>
      <c r="G583" s="79" t="s">
        <v>50</v>
      </c>
      <c r="H583" s="80" t="s">
        <v>50</v>
      </c>
      <c r="I583" s="79"/>
      <c r="J583" s="79"/>
      <c r="K583" s="80"/>
      <c r="L583" s="79"/>
      <c r="M583" s="79"/>
      <c r="N583" s="80"/>
      <c r="O583" s="79"/>
      <c r="P583" s="79"/>
      <c r="Q583" s="80"/>
    </row>
    <row r="584" spans="1:17" ht="60" customHeight="1">
      <c r="A584" s="81">
        <v>84</v>
      </c>
      <c r="B584" s="82"/>
      <c r="C584" s="104" t="s">
        <v>367</v>
      </c>
      <c r="D584" s="104" t="s">
        <v>165</v>
      </c>
      <c r="E584" s="84" t="s">
        <v>341</v>
      </c>
      <c r="F584" s="85"/>
      <c r="G584" s="86"/>
      <c r="H584" s="87"/>
      <c r="I584" s="86"/>
      <c r="J584" s="86"/>
      <c r="K584" s="87"/>
      <c r="L584" s="86"/>
      <c r="M584" s="86"/>
      <c r="N584" s="87"/>
      <c r="O584" s="86"/>
      <c r="P584" s="86"/>
      <c r="Q584" s="87"/>
    </row>
    <row r="585" spans="1:17" ht="45" customHeight="1">
      <c r="A585" s="81">
        <v>84</v>
      </c>
      <c r="B585" s="82"/>
      <c r="C585" s="104" t="s">
        <v>367</v>
      </c>
      <c r="D585" s="104" t="s">
        <v>165</v>
      </c>
      <c r="E585" s="84" t="s">
        <v>341</v>
      </c>
      <c r="F585" s="85"/>
      <c r="G585" s="85"/>
      <c r="H585" s="88"/>
      <c r="I585" s="86"/>
      <c r="J585" s="86"/>
      <c r="K585" s="87"/>
      <c r="L585" s="86"/>
      <c r="M585" s="86"/>
      <c r="N585" s="87"/>
      <c r="O585" s="86"/>
      <c r="P585" s="86"/>
      <c r="Q585" s="87"/>
    </row>
    <row r="586" spans="1:17" ht="14.45" customHeight="1">
      <c r="A586" s="81">
        <v>84</v>
      </c>
      <c r="B586" s="82"/>
      <c r="C586" s="104" t="s">
        <v>367</v>
      </c>
      <c r="D586" s="104" t="s">
        <v>165</v>
      </c>
      <c r="E586" s="84" t="s">
        <v>341</v>
      </c>
      <c r="F586" s="89">
        <v>17</v>
      </c>
      <c r="G586" s="89">
        <v>33</v>
      </c>
      <c r="H586" s="90">
        <v>5</v>
      </c>
      <c r="I586" s="86"/>
      <c r="J586" s="86"/>
      <c r="K586" s="87"/>
      <c r="L586" s="86"/>
      <c r="M586" s="86"/>
      <c r="N586" s="87"/>
      <c r="O586" s="86"/>
      <c r="P586" s="86"/>
      <c r="Q586" s="87"/>
    </row>
    <row r="587" spans="1:17" ht="45" customHeight="1">
      <c r="A587" s="81">
        <v>84</v>
      </c>
      <c r="B587" s="82"/>
      <c r="C587" s="104" t="s">
        <v>367</v>
      </c>
      <c r="D587" s="104" t="s">
        <v>165</v>
      </c>
      <c r="E587" s="84" t="s">
        <v>341</v>
      </c>
      <c r="F587" s="85"/>
      <c r="G587" s="85"/>
      <c r="H587" s="88"/>
      <c r="I587" s="86"/>
      <c r="J587" s="86"/>
      <c r="K587" s="87"/>
      <c r="L587" s="86"/>
      <c r="M587" s="86"/>
      <c r="N587" s="87"/>
      <c r="O587" s="86"/>
      <c r="P587" s="86"/>
      <c r="Q587" s="87"/>
    </row>
    <row r="588" spans="1:17" ht="14.45" customHeight="1">
      <c r="A588" s="81">
        <v>84</v>
      </c>
      <c r="B588" s="82"/>
      <c r="C588" s="104" t="s">
        <v>367</v>
      </c>
      <c r="D588" s="104" t="s">
        <v>165</v>
      </c>
      <c r="E588" s="84" t="s">
        <v>341</v>
      </c>
      <c r="F588" s="89">
        <v>25</v>
      </c>
      <c r="G588" s="85"/>
      <c r="H588" s="88"/>
      <c r="I588" s="86"/>
      <c r="J588" s="86"/>
      <c r="K588" s="87"/>
      <c r="L588" s="86"/>
      <c r="M588" s="86"/>
      <c r="N588" s="87"/>
      <c r="O588" s="86"/>
      <c r="P588" s="86"/>
      <c r="Q588" s="87"/>
    </row>
    <row r="589" spans="1:17" ht="24" customHeight="1">
      <c r="A589" s="91">
        <v>84</v>
      </c>
      <c r="B589" s="92"/>
      <c r="C589" s="105" t="s">
        <v>367</v>
      </c>
      <c r="D589" s="105" t="s">
        <v>165</v>
      </c>
      <c r="E589" s="94" t="s">
        <v>341</v>
      </c>
      <c r="F589" s="95" t="s">
        <v>56</v>
      </c>
      <c r="G589" s="96">
        <v>9640</v>
      </c>
      <c r="H589" s="97">
        <v>9640</v>
      </c>
      <c r="I589" s="98"/>
      <c r="J589" s="98"/>
      <c r="K589" s="99"/>
      <c r="L589" s="98"/>
      <c r="M589" s="98"/>
      <c r="N589" s="99"/>
      <c r="O589" s="98"/>
      <c r="P589" s="98"/>
      <c r="Q589" s="99"/>
    </row>
    <row r="590" spans="1:17" ht="14.45" customHeight="1">
      <c r="A590" s="75">
        <v>85</v>
      </c>
      <c r="B590" s="76"/>
      <c r="C590" s="103" t="s">
        <v>368</v>
      </c>
      <c r="D590" s="103" t="s">
        <v>165</v>
      </c>
      <c r="E590" s="78" t="s">
        <v>341</v>
      </c>
      <c r="F590" s="79" t="s">
        <v>50</v>
      </c>
      <c r="G590" s="79" t="s">
        <v>50</v>
      </c>
      <c r="H590" s="80" t="s">
        <v>50</v>
      </c>
      <c r="I590" s="79"/>
      <c r="J590" s="79"/>
      <c r="K590" s="80"/>
      <c r="L590" s="79"/>
      <c r="M590" s="79"/>
      <c r="N590" s="80"/>
      <c r="O590" s="79"/>
      <c r="P590" s="79"/>
      <c r="Q590" s="80"/>
    </row>
    <row r="591" spans="1:17" ht="60" customHeight="1">
      <c r="A591" s="81">
        <v>85</v>
      </c>
      <c r="B591" s="82"/>
      <c r="C591" s="104" t="s">
        <v>368</v>
      </c>
      <c r="D591" s="104" t="s">
        <v>165</v>
      </c>
      <c r="E591" s="84" t="s">
        <v>341</v>
      </c>
      <c r="F591" s="85"/>
      <c r="G591" s="86"/>
      <c r="H591" s="87"/>
      <c r="I591" s="86"/>
      <c r="J591" s="86"/>
      <c r="K591" s="87"/>
      <c r="L591" s="86"/>
      <c r="M591" s="86"/>
      <c r="N591" s="87"/>
      <c r="O591" s="86"/>
      <c r="P591" s="86"/>
      <c r="Q591" s="87"/>
    </row>
    <row r="592" spans="1:17" ht="45" customHeight="1">
      <c r="A592" s="81">
        <v>85</v>
      </c>
      <c r="B592" s="82"/>
      <c r="C592" s="104" t="s">
        <v>368</v>
      </c>
      <c r="D592" s="104" t="s">
        <v>165</v>
      </c>
      <c r="E592" s="84" t="s">
        <v>341</v>
      </c>
      <c r="F592" s="85"/>
      <c r="G592" s="85"/>
      <c r="H592" s="88"/>
      <c r="I592" s="86"/>
      <c r="J592" s="86"/>
      <c r="K592" s="87"/>
      <c r="L592" s="86"/>
      <c r="M592" s="86"/>
      <c r="N592" s="87"/>
      <c r="O592" s="86"/>
      <c r="P592" s="86"/>
      <c r="Q592" s="87"/>
    </row>
    <row r="593" spans="1:17" ht="14.45" customHeight="1">
      <c r="A593" s="81">
        <v>85</v>
      </c>
      <c r="B593" s="82"/>
      <c r="C593" s="104" t="s">
        <v>368</v>
      </c>
      <c r="D593" s="104" t="s">
        <v>165</v>
      </c>
      <c r="E593" s="84" t="s">
        <v>341</v>
      </c>
      <c r="F593" s="89">
        <v>17</v>
      </c>
      <c r="G593" s="89">
        <v>33</v>
      </c>
      <c r="H593" s="90">
        <v>5</v>
      </c>
      <c r="I593" s="86"/>
      <c r="J593" s="86"/>
      <c r="K593" s="87"/>
      <c r="L593" s="86"/>
      <c r="M593" s="86"/>
      <c r="N593" s="87"/>
      <c r="O593" s="86"/>
      <c r="P593" s="86"/>
      <c r="Q593" s="87"/>
    </row>
    <row r="594" spans="1:17" ht="45" customHeight="1">
      <c r="A594" s="81">
        <v>85</v>
      </c>
      <c r="B594" s="82"/>
      <c r="C594" s="104" t="s">
        <v>368</v>
      </c>
      <c r="D594" s="104" t="s">
        <v>165</v>
      </c>
      <c r="E594" s="84" t="s">
        <v>341</v>
      </c>
      <c r="F594" s="85"/>
      <c r="G594" s="85"/>
      <c r="H594" s="88"/>
      <c r="I594" s="86"/>
      <c r="J594" s="86"/>
      <c r="K594" s="87"/>
      <c r="L594" s="86"/>
      <c r="M594" s="86"/>
      <c r="N594" s="87"/>
      <c r="O594" s="86"/>
      <c r="P594" s="86"/>
      <c r="Q594" s="87"/>
    </row>
    <row r="595" spans="1:17" ht="14.45" customHeight="1">
      <c r="A595" s="81">
        <v>85</v>
      </c>
      <c r="B595" s="82"/>
      <c r="C595" s="104" t="s">
        <v>368</v>
      </c>
      <c r="D595" s="104" t="s">
        <v>165</v>
      </c>
      <c r="E595" s="84" t="s">
        <v>341</v>
      </c>
      <c r="F595" s="89">
        <v>25</v>
      </c>
      <c r="G595" s="85"/>
      <c r="H595" s="88"/>
      <c r="I595" s="86"/>
      <c r="J595" s="86"/>
      <c r="K595" s="87"/>
      <c r="L595" s="86"/>
      <c r="M595" s="86"/>
      <c r="N595" s="87"/>
      <c r="O595" s="86"/>
      <c r="P595" s="86"/>
      <c r="Q595" s="87"/>
    </row>
    <row r="596" spans="1:17" ht="24" customHeight="1">
      <c r="A596" s="91">
        <v>85</v>
      </c>
      <c r="B596" s="92"/>
      <c r="C596" s="105" t="s">
        <v>368</v>
      </c>
      <c r="D596" s="105" t="s">
        <v>165</v>
      </c>
      <c r="E596" s="94" t="s">
        <v>341</v>
      </c>
      <c r="F596" s="95" t="s">
        <v>56</v>
      </c>
      <c r="G596" s="96">
        <v>9640</v>
      </c>
      <c r="H596" s="97">
        <v>9640</v>
      </c>
      <c r="I596" s="98"/>
      <c r="J596" s="98"/>
      <c r="K596" s="99"/>
      <c r="L596" s="98"/>
      <c r="M596" s="98"/>
      <c r="N596" s="99"/>
      <c r="O596" s="98"/>
      <c r="P596" s="98"/>
      <c r="Q596" s="99"/>
    </row>
    <row r="597" spans="1:17" ht="14.45" customHeight="1">
      <c r="A597" s="75">
        <v>86</v>
      </c>
      <c r="B597" s="76"/>
      <c r="C597" s="103" t="s">
        <v>369</v>
      </c>
      <c r="D597" s="103" t="s">
        <v>165</v>
      </c>
      <c r="E597" s="78" t="s">
        <v>341</v>
      </c>
      <c r="F597" s="79" t="s">
        <v>50</v>
      </c>
      <c r="G597" s="79" t="s">
        <v>50</v>
      </c>
      <c r="H597" s="80" t="s">
        <v>50</v>
      </c>
      <c r="I597" s="79"/>
      <c r="J597" s="79"/>
      <c r="K597" s="80"/>
      <c r="L597" s="79"/>
      <c r="M597" s="79"/>
      <c r="N597" s="80"/>
      <c r="O597" s="79"/>
      <c r="P597" s="79"/>
      <c r="Q597" s="80"/>
    </row>
    <row r="598" spans="1:17" ht="60" customHeight="1">
      <c r="A598" s="81">
        <v>86</v>
      </c>
      <c r="B598" s="82"/>
      <c r="C598" s="104" t="s">
        <v>369</v>
      </c>
      <c r="D598" s="104" t="s">
        <v>165</v>
      </c>
      <c r="E598" s="84" t="s">
        <v>341</v>
      </c>
      <c r="F598" s="85"/>
      <c r="G598" s="86"/>
      <c r="H598" s="87"/>
      <c r="I598" s="86"/>
      <c r="J598" s="86"/>
      <c r="K598" s="87"/>
      <c r="L598" s="86"/>
      <c r="M598" s="86"/>
      <c r="N598" s="87"/>
      <c r="O598" s="86"/>
      <c r="P598" s="86"/>
      <c r="Q598" s="87"/>
    </row>
    <row r="599" spans="1:17" ht="45" customHeight="1">
      <c r="A599" s="81">
        <v>86</v>
      </c>
      <c r="B599" s="82"/>
      <c r="C599" s="104" t="s">
        <v>369</v>
      </c>
      <c r="D599" s="104" t="s">
        <v>165</v>
      </c>
      <c r="E599" s="84" t="s">
        <v>341</v>
      </c>
      <c r="F599" s="85"/>
      <c r="G599" s="85"/>
      <c r="H599" s="88"/>
      <c r="I599" s="86"/>
      <c r="J599" s="86"/>
      <c r="K599" s="87"/>
      <c r="L599" s="86"/>
      <c r="M599" s="86"/>
      <c r="N599" s="87"/>
      <c r="O599" s="86"/>
      <c r="P599" s="86"/>
      <c r="Q599" s="87"/>
    </row>
    <row r="600" spans="1:17" ht="14.45" customHeight="1">
      <c r="A600" s="81">
        <v>86</v>
      </c>
      <c r="B600" s="82"/>
      <c r="C600" s="104" t="s">
        <v>369</v>
      </c>
      <c r="D600" s="104" t="s">
        <v>165</v>
      </c>
      <c r="E600" s="84" t="s">
        <v>341</v>
      </c>
      <c r="F600" s="89">
        <v>17</v>
      </c>
      <c r="G600" s="89">
        <v>33</v>
      </c>
      <c r="H600" s="90">
        <v>5</v>
      </c>
      <c r="I600" s="86"/>
      <c r="J600" s="86"/>
      <c r="K600" s="87"/>
      <c r="L600" s="86"/>
      <c r="M600" s="86"/>
      <c r="N600" s="87"/>
      <c r="O600" s="86"/>
      <c r="P600" s="86"/>
      <c r="Q600" s="87"/>
    </row>
    <row r="601" spans="1:17" ht="45" customHeight="1">
      <c r="A601" s="81">
        <v>86</v>
      </c>
      <c r="B601" s="82"/>
      <c r="C601" s="104" t="s">
        <v>369</v>
      </c>
      <c r="D601" s="104" t="s">
        <v>165</v>
      </c>
      <c r="E601" s="84" t="s">
        <v>341</v>
      </c>
      <c r="F601" s="85"/>
      <c r="G601" s="85"/>
      <c r="H601" s="88"/>
      <c r="I601" s="86"/>
      <c r="J601" s="86"/>
      <c r="K601" s="87"/>
      <c r="L601" s="86"/>
      <c r="M601" s="86"/>
      <c r="N601" s="87"/>
      <c r="O601" s="86"/>
      <c r="P601" s="86"/>
      <c r="Q601" s="87"/>
    </row>
    <row r="602" spans="1:17" ht="14.45" customHeight="1">
      <c r="A602" s="81">
        <v>86</v>
      </c>
      <c r="B602" s="82"/>
      <c r="C602" s="104" t="s">
        <v>369</v>
      </c>
      <c r="D602" s="104" t="s">
        <v>165</v>
      </c>
      <c r="E602" s="84" t="s">
        <v>341</v>
      </c>
      <c r="F602" s="89">
        <v>25</v>
      </c>
      <c r="G602" s="85"/>
      <c r="H602" s="88"/>
      <c r="I602" s="86"/>
      <c r="J602" s="86"/>
      <c r="K602" s="87"/>
      <c r="L602" s="86"/>
      <c r="M602" s="86"/>
      <c r="N602" s="87"/>
      <c r="O602" s="86"/>
      <c r="P602" s="86"/>
      <c r="Q602" s="87"/>
    </row>
    <row r="603" spans="1:17" ht="24" customHeight="1">
      <c r="A603" s="91">
        <v>86</v>
      </c>
      <c r="B603" s="92"/>
      <c r="C603" s="105" t="s">
        <v>369</v>
      </c>
      <c r="D603" s="105" t="s">
        <v>165</v>
      </c>
      <c r="E603" s="94" t="s">
        <v>341</v>
      </c>
      <c r="F603" s="95" t="s">
        <v>56</v>
      </c>
      <c r="G603" s="96">
        <v>9640</v>
      </c>
      <c r="H603" s="97">
        <v>9640</v>
      </c>
      <c r="I603" s="98"/>
      <c r="J603" s="98"/>
      <c r="K603" s="99"/>
      <c r="L603" s="98"/>
      <c r="M603" s="98"/>
      <c r="N603" s="99"/>
      <c r="O603" s="98"/>
      <c r="P603" s="98"/>
      <c r="Q603" s="99"/>
    </row>
    <row r="604" spans="1:17" ht="14.45" customHeight="1">
      <c r="A604" s="75">
        <v>87</v>
      </c>
      <c r="B604" s="76"/>
      <c r="C604" s="103" t="s">
        <v>359</v>
      </c>
      <c r="D604" s="103" t="s">
        <v>165</v>
      </c>
      <c r="E604" s="78" t="s">
        <v>341</v>
      </c>
      <c r="F604" s="79" t="s">
        <v>50</v>
      </c>
      <c r="G604" s="79" t="s">
        <v>50</v>
      </c>
      <c r="H604" s="80" t="s">
        <v>50</v>
      </c>
      <c r="I604" s="79"/>
      <c r="J604" s="79"/>
      <c r="K604" s="80"/>
      <c r="L604" s="79"/>
      <c r="M604" s="79"/>
      <c r="N604" s="80"/>
      <c r="O604" s="79"/>
      <c r="P604" s="79"/>
      <c r="Q604" s="80"/>
    </row>
    <row r="605" spans="1:17" ht="60" customHeight="1">
      <c r="A605" s="81">
        <v>87</v>
      </c>
      <c r="B605" s="82"/>
      <c r="C605" s="104" t="s">
        <v>359</v>
      </c>
      <c r="D605" s="104" t="s">
        <v>165</v>
      </c>
      <c r="E605" s="84" t="s">
        <v>341</v>
      </c>
      <c r="F605" s="85"/>
      <c r="G605" s="86"/>
      <c r="H605" s="87"/>
      <c r="I605" s="86"/>
      <c r="J605" s="86"/>
      <c r="K605" s="87"/>
      <c r="L605" s="86"/>
      <c r="M605" s="86"/>
      <c r="N605" s="87"/>
      <c r="O605" s="86"/>
      <c r="P605" s="86"/>
      <c r="Q605" s="87"/>
    </row>
    <row r="606" spans="1:17" ht="45" customHeight="1">
      <c r="A606" s="81">
        <v>87</v>
      </c>
      <c r="B606" s="82"/>
      <c r="C606" s="104" t="s">
        <v>359</v>
      </c>
      <c r="D606" s="104" t="s">
        <v>165</v>
      </c>
      <c r="E606" s="84" t="s">
        <v>341</v>
      </c>
      <c r="F606" s="85"/>
      <c r="G606" s="85"/>
      <c r="H606" s="88"/>
      <c r="I606" s="86"/>
      <c r="J606" s="86"/>
      <c r="K606" s="87"/>
      <c r="L606" s="86"/>
      <c r="M606" s="86"/>
      <c r="N606" s="87"/>
      <c r="O606" s="86"/>
      <c r="P606" s="86"/>
      <c r="Q606" s="87"/>
    </row>
    <row r="607" spans="1:17" ht="14.45" customHeight="1">
      <c r="A607" s="81">
        <v>87</v>
      </c>
      <c r="B607" s="82"/>
      <c r="C607" s="104" t="s">
        <v>359</v>
      </c>
      <c r="D607" s="104" t="s">
        <v>165</v>
      </c>
      <c r="E607" s="84" t="s">
        <v>341</v>
      </c>
      <c r="F607" s="89">
        <v>17</v>
      </c>
      <c r="G607" s="89">
        <v>33</v>
      </c>
      <c r="H607" s="90">
        <v>5</v>
      </c>
      <c r="I607" s="86"/>
      <c r="J607" s="86"/>
      <c r="K607" s="87"/>
      <c r="L607" s="86"/>
      <c r="M607" s="86"/>
      <c r="N607" s="87"/>
      <c r="O607" s="86"/>
      <c r="P607" s="86"/>
      <c r="Q607" s="87"/>
    </row>
    <row r="608" spans="1:17" ht="45" customHeight="1">
      <c r="A608" s="81">
        <v>87</v>
      </c>
      <c r="B608" s="82"/>
      <c r="C608" s="104" t="s">
        <v>359</v>
      </c>
      <c r="D608" s="104" t="s">
        <v>165</v>
      </c>
      <c r="E608" s="84" t="s">
        <v>341</v>
      </c>
      <c r="F608" s="85"/>
      <c r="G608" s="85"/>
      <c r="H608" s="88"/>
      <c r="I608" s="86"/>
      <c r="J608" s="86"/>
      <c r="K608" s="87"/>
      <c r="L608" s="86"/>
      <c r="M608" s="86"/>
      <c r="N608" s="87"/>
      <c r="O608" s="86"/>
      <c r="P608" s="86"/>
      <c r="Q608" s="87"/>
    </row>
    <row r="609" spans="1:17" ht="14.45" customHeight="1">
      <c r="A609" s="81">
        <v>87</v>
      </c>
      <c r="B609" s="82"/>
      <c r="C609" s="104" t="s">
        <v>359</v>
      </c>
      <c r="D609" s="104" t="s">
        <v>165</v>
      </c>
      <c r="E609" s="84" t="s">
        <v>341</v>
      </c>
      <c r="F609" s="89">
        <v>25</v>
      </c>
      <c r="G609" s="85"/>
      <c r="H609" s="88"/>
      <c r="I609" s="86"/>
      <c r="J609" s="86"/>
      <c r="K609" s="87"/>
      <c r="L609" s="86"/>
      <c r="M609" s="86"/>
      <c r="N609" s="87"/>
      <c r="O609" s="86"/>
      <c r="P609" s="86"/>
      <c r="Q609" s="87"/>
    </row>
    <row r="610" spans="1:17" ht="24" customHeight="1">
      <c r="A610" s="91">
        <v>87</v>
      </c>
      <c r="B610" s="92"/>
      <c r="C610" s="105" t="s">
        <v>359</v>
      </c>
      <c r="D610" s="105" t="s">
        <v>165</v>
      </c>
      <c r="E610" s="94" t="s">
        <v>341</v>
      </c>
      <c r="F610" s="95" t="s">
        <v>56</v>
      </c>
      <c r="G610" s="96">
        <v>9640</v>
      </c>
      <c r="H610" s="97">
        <v>9640</v>
      </c>
      <c r="I610" s="98"/>
      <c r="J610" s="98"/>
      <c r="K610" s="99"/>
      <c r="L610" s="98"/>
      <c r="M610" s="98"/>
      <c r="N610" s="99"/>
      <c r="O610" s="98"/>
      <c r="P610" s="98"/>
      <c r="Q610" s="99"/>
    </row>
    <row r="611" spans="1:17" ht="14.45" customHeight="1">
      <c r="A611" s="75">
        <v>88</v>
      </c>
      <c r="B611" s="76"/>
      <c r="C611" s="103" t="s">
        <v>278</v>
      </c>
      <c r="D611" s="103" t="s">
        <v>165</v>
      </c>
      <c r="E611" s="78" t="s">
        <v>272</v>
      </c>
      <c r="F611" s="79" t="s">
        <v>50</v>
      </c>
      <c r="G611" s="79" t="s">
        <v>50</v>
      </c>
      <c r="H611" s="80" t="s">
        <v>50</v>
      </c>
      <c r="I611" s="79"/>
      <c r="J611" s="79"/>
      <c r="K611" s="80"/>
      <c r="L611" s="79"/>
      <c r="M611" s="79"/>
      <c r="N611" s="80"/>
      <c r="O611" s="79"/>
      <c r="P611" s="79"/>
      <c r="Q611" s="80"/>
    </row>
    <row r="612" spans="1:17" ht="60" customHeight="1">
      <c r="A612" s="81">
        <v>88</v>
      </c>
      <c r="B612" s="82"/>
      <c r="C612" s="104" t="s">
        <v>278</v>
      </c>
      <c r="D612" s="104" t="s">
        <v>165</v>
      </c>
      <c r="E612" s="84" t="s">
        <v>272</v>
      </c>
      <c r="F612" s="85"/>
      <c r="G612" s="86"/>
      <c r="H612" s="87"/>
      <c r="I612" s="86"/>
      <c r="J612" s="86"/>
      <c r="K612" s="87"/>
      <c r="L612" s="86"/>
      <c r="M612" s="86"/>
      <c r="N612" s="87"/>
      <c r="O612" s="86"/>
      <c r="P612" s="86"/>
      <c r="Q612" s="87"/>
    </row>
    <row r="613" spans="1:17" ht="45" customHeight="1">
      <c r="A613" s="81">
        <v>88</v>
      </c>
      <c r="B613" s="82"/>
      <c r="C613" s="104" t="s">
        <v>278</v>
      </c>
      <c r="D613" s="104" t="s">
        <v>165</v>
      </c>
      <c r="E613" s="84" t="s">
        <v>272</v>
      </c>
      <c r="F613" s="85"/>
      <c r="G613" s="85"/>
      <c r="H613" s="88"/>
      <c r="I613" s="86"/>
      <c r="J613" s="86"/>
      <c r="K613" s="87"/>
      <c r="L613" s="86"/>
      <c r="M613" s="86"/>
      <c r="N613" s="87"/>
      <c r="O613" s="86"/>
      <c r="P613" s="86"/>
      <c r="Q613" s="87"/>
    </row>
    <row r="614" spans="1:17" ht="14.45" customHeight="1">
      <c r="A614" s="81">
        <v>88</v>
      </c>
      <c r="B614" s="82"/>
      <c r="C614" s="104" t="s">
        <v>278</v>
      </c>
      <c r="D614" s="104" t="s">
        <v>165</v>
      </c>
      <c r="E614" s="84" t="s">
        <v>272</v>
      </c>
      <c r="F614" s="89">
        <v>14</v>
      </c>
      <c r="G614" s="89">
        <v>56</v>
      </c>
      <c r="H614" s="90">
        <v>14</v>
      </c>
      <c r="I614" s="86"/>
      <c r="J614" s="86"/>
      <c r="K614" s="87"/>
      <c r="L614" s="86"/>
      <c r="M614" s="86"/>
      <c r="N614" s="87"/>
      <c r="O614" s="86"/>
      <c r="P614" s="86"/>
      <c r="Q614" s="87"/>
    </row>
    <row r="615" spans="1:17" ht="45" customHeight="1">
      <c r="A615" s="81">
        <v>88</v>
      </c>
      <c r="B615" s="82"/>
      <c r="C615" s="104" t="s">
        <v>278</v>
      </c>
      <c r="D615" s="104" t="s">
        <v>165</v>
      </c>
      <c r="E615" s="84" t="s">
        <v>272</v>
      </c>
      <c r="F615" s="85"/>
      <c r="G615" s="85"/>
      <c r="H615" s="88"/>
      <c r="I615" s="86"/>
      <c r="J615" s="86"/>
      <c r="K615" s="87"/>
      <c r="L615" s="86"/>
      <c r="M615" s="86"/>
      <c r="N615" s="87"/>
      <c r="O615" s="86"/>
      <c r="P615" s="86"/>
      <c r="Q615" s="87"/>
    </row>
    <row r="616" spans="1:17" ht="14.45" customHeight="1">
      <c r="A616" s="81">
        <v>88</v>
      </c>
      <c r="B616" s="82"/>
      <c r="C616" s="104" t="s">
        <v>278</v>
      </c>
      <c r="D616" s="104" t="s">
        <v>165</v>
      </c>
      <c r="E616" s="84" t="s">
        <v>272</v>
      </c>
      <c r="F616" s="85"/>
      <c r="G616" s="85"/>
      <c r="H616" s="88"/>
      <c r="I616" s="86"/>
      <c r="J616" s="86"/>
      <c r="K616" s="87"/>
      <c r="L616" s="86"/>
      <c r="M616" s="86"/>
      <c r="N616" s="87"/>
      <c r="O616" s="86"/>
      <c r="P616" s="86"/>
      <c r="Q616" s="87"/>
    </row>
    <row r="617" spans="1:17" ht="24" customHeight="1">
      <c r="A617" s="91">
        <v>88</v>
      </c>
      <c r="B617" s="92"/>
      <c r="C617" s="105" t="s">
        <v>278</v>
      </c>
      <c r="D617" s="105" t="s">
        <v>165</v>
      </c>
      <c r="E617" s="94" t="s">
        <v>272</v>
      </c>
      <c r="F617" s="95" t="s">
        <v>56</v>
      </c>
      <c r="G617" s="96">
        <v>10300</v>
      </c>
      <c r="H617" s="97">
        <v>10300</v>
      </c>
      <c r="I617" s="98"/>
      <c r="J617" s="98"/>
      <c r="K617" s="99"/>
      <c r="L617" s="98"/>
      <c r="M617" s="98"/>
      <c r="N617" s="99"/>
      <c r="O617" s="98"/>
      <c r="P617" s="98"/>
      <c r="Q617" s="99"/>
    </row>
    <row r="618" spans="1:17" ht="14.45" customHeight="1">
      <c r="A618" s="75">
        <v>89</v>
      </c>
      <c r="B618" s="76"/>
      <c r="C618" s="103" t="s">
        <v>327</v>
      </c>
      <c r="D618" s="103" t="s">
        <v>165</v>
      </c>
      <c r="E618" s="78" t="s">
        <v>272</v>
      </c>
      <c r="F618" s="79" t="s">
        <v>50</v>
      </c>
      <c r="G618" s="79" t="s">
        <v>50</v>
      </c>
      <c r="H618" s="80" t="s">
        <v>50</v>
      </c>
      <c r="I618" s="79"/>
      <c r="J618" s="79"/>
      <c r="K618" s="80"/>
      <c r="L618" s="79"/>
      <c r="M618" s="79"/>
      <c r="N618" s="80"/>
      <c r="O618" s="79"/>
      <c r="P618" s="79"/>
      <c r="Q618" s="80"/>
    </row>
    <row r="619" spans="1:17" ht="60" customHeight="1">
      <c r="A619" s="81">
        <v>89</v>
      </c>
      <c r="B619" s="82"/>
      <c r="C619" s="104" t="s">
        <v>327</v>
      </c>
      <c r="D619" s="104" t="s">
        <v>165</v>
      </c>
      <c r="E619" s="84" t="s">
        <v>272</v>
      </c>
      <c r="F619" s="85"/>
      <c r="G619" s="86"/>
      <c r="H619" s="87"/>
      <c r="I619" s="86"/>
      <c r="J619" s="86"/>
      <c r="K619" s="87"/>
      <c r="L619" s="86"/>
      <c r="M619" s="86"/>
      <c r="N619" s="87"/>
      <c r="O619" s="86"/>
      <c r="P619" s="86"/>
      <c r="Q619" s="87"/>
    </row>
    <row r="620" spans="1:17" ht="45" customHeight="1">
      <c r="A620" s="81">
        <v>89</v>
      </c>
      <c r="B620" s="82"/>
      <c r="C620" s="104" t="s">
        <v>327</v>
      </c>
      <c r="D620" s="104" t="s">
        <v>165</v>
      </c>
      <c r="E620" s="84" t="s">
        <v>272</v>
      </c>
      <c r="F620" s="85"/>
      <c r="G620" s="85"/>
      <c r="H620" s="88"/>
      <c r="I620" s="86"/>
      <c r="J620" s="86"/>
      <c r="K620" s="87"/>
      <c r="L620" s="86"/>
      <c r="M620" s="86"/>
      <c r="N620" s="87"/>
      <c r="O620" s="86"/>
      <c r="P620" s="86"/>
      <c r="Q620" s="87"/>
    </row>
    <row r="621" spans="1:17" ht="14.45" customHeight="1">
      <c r="A621" s="81">
        <v>89</v>
      </c>
      <c r="B621" s="82"/>
      <c r="C621" s="104" t="s">
        <v>327</v>
      </c>
      <c r="D621" s="104" t="s">
        <v>165</v>
      </c>
      <c r="E621" s="84" t="s">
        <v>272</v>
      </c>
      <c r="F621" s="89">
        <v>14</v>
      </c>
      <c r="G621" s="89">
        <v>56</v>
      </c>
      <c r="H621" s="90">
        <v>14</v>
      </c>
      <c r="I621" s="86"/>
      <c r="J621" s="86"/>
      <c r="K621" s="87"/>
      <c r="L621" s="86"/>
      <c r="M621" s="86"/>
      <c r="N621" s="87"/>
      <c r="O621" s="86"/>
      <c r="P621" s="86"/>
      <c r="Q621" s="87"/>
    </row>
    <row r="622" spans="1:17" ht="45" customHeight="1">
      <c r="A622" s="81">
        <v>89</v>
      </c>
      <c r="B622" s="82"/>
      <c r="C622" s="104" t="s">
        <v>327</v>
      </c>
      <c r="D622" s="104" t="s">
        <v>165</v>
      </c>
      <c r="E622" s="84" t="s">
        <v>272</v>
      </c>
      <c r="F622" s="85"/>
      <c r="G622" s="85"/>
      <c r="H622" s="88"/>
      <c r="I622" s="86"/>
      <c r="J622" s="86"/>
      <c r="K622" s="87"/>
      <c r="L622" s="86"/>
      <c r="M622" s="86"/>
      <c r="N622" s="87"/>
      <c r="O622" s="86"/>
      <c r="P622" s="86"/>
      <c r="Q622" s="87"/>
    </row>
    <row r="623" spans="1:17" ht="14.45" customHeight="1">
      <c r="A623" s="81">
        <v>89</v>
      </c>
      <c r="B623" s="82"/>
      <c r="C623" s="104" t="s">
        <v>327</v>
      </c>
      <c r="D623" s="104" t="s">
        <v>165</v>
      </c>
      <c r="E623" s="84" t="s">
        <v>272</v>
      </c>
      <c r="F623" s="85"/>
      <c r="G623" s="85"/>
      <c r="H623" s="88"/>
      <c r="I623" s="86"/>
      <c r="J623" s="86"/>
      <c r="K623" s="87"/>
      <c r="L623" s="86"/>
      <c r="M623" s="86"/>
      <c r="N623" s="87"/>
      <c r="O623" s="86"/>
      <c r="P623" s="86"/>
      <c r="Q623" s="87"/>
    </row>
    <row r="624" spans="1:17" ht="24" customHeight="1">
      <c r="A624" s="91">
        <v>89</v>
      </c>
      <c r="B624" s="92"/>
      <c r="C624" s="105" t="s">
        <v>327</v>
      </c>
      <c r="D624" s="105" t="s">
        <v>165</v>
      </c>
      <c r="E624" s="94" t="s">
        <v>272</v>
      </c>
      <c r="F624" s="95" t="s">
        <v>56</v>
      </c>
      <c r="G624" s="96">
        <v>10300</v>
      </c>
      <c r="H624" s="97">
        <v>10300</v>
      </c>
      <c r="I624" s="98"/>
      <c r="J624" s="98"/>
      <c r="K624" s="99"/>
      <c r="L624" s="98"/>
      <c r="M624" s="98"/>
      <c r="N624" s="99"/>
      <c r="O624" s="98"/>
      <c r="P624" s="98"/>
      <c r="Q624" s="99"/>
    </row>
    <row r="625" spans="1:17" ht="14.45" customHeight="1">
      <c r="A625" s="75">
        <v>90</v>
      </c>
      <c r="B625" s="76"/>
      <c r="C625" s="103" t="s">
        <v>370</v>
      </c>
      <c r="D625" s="103" t="s">
        <v>165</v>
      </c>
      <c r="E625" s="78" t="s">
        <v>371</v>
      </c>
      <c r="F625" s="79" t="s">
        <v>50</v>
      </c>
      <c r="G625" s="79" t="s">
        <v>50</v>
      </c>
      <c r="H625" s="80" t="s">
        <v>50</v>
      </c>
      <c r="I625" s="79"/>
      <c r="J625" s="79"/>
      <c r="K625" s="80"/>
      <c r="L625" s="79"/>
      <c r="M625" s="79"/>
      <c r="N625" s="80"/>
      <c r="O625" s="79"/>
      <c r="P625" s="79"/>
      <c r="Q625" s="80"/>
    </row>
    <row r="626" spans="1:17" ht="60" customHeight="1">
      <c r="A626" s="81">
        <v>90</v>
      </c>
      <c r="B626" s="82"/>
      <c r="C626" s="104" t="s">
        <v>370</v>
      </c>
      <c r="D626" s="104" t="s">
        <v>165</v>
      </c>
      <c r="E626" s="84" t="s">
        <v>371</v>
      </c>
      <c r="F626" s="85"/>
      <c r="G626" s="86"/>
      <c r="H626" s="87"/>
      <c r="I626" s="86"/>
      <c r="J626" s="86"/>
      <c r="K626" s="87"/>
      <c r="L626" s="86"/>
      <c r="M626" s="86"/>
      <c r="N626" s="87"/>
      <c r="O626" s="86"/>
      <c r="P626" s="86"/>
      <c r="Q626" s="87"/>
    </row>
    <row r="627" spans="1:17" ht="45" customHeight="1">
      <c r="A627" s="81">
        <v>90</v>
      </c>
      <c r="B627" s="82"/>
      <c r="C627" s="104" t="s">
        <v>370</v>
      </c>
      <c r="D627" s="104" t="s">
        <v>165</v>
      </c>
      <c r="E627" s="84" t="s">
        <v>371</v>
      </c>
      <c r="F627" s="85"/>
      <c r="G627" s="85"/>
      <c r="H627" s="88"/>
      <c r="I627" s="86"/>
      <c r="J627" s="86"/>
      <c r="K627" s="87"/>
      <c r="L627" s="86"/>
      <c r="M627" s="86"/>
      <c r="N627" s="87"/>
      <c r="O627" s="86"/>
      <c r="P627" s="86"/>
      <c r="Q627" s="87"/>
    </row>
    <row r="628" spans="1:17" ht="14.45" customHeight="1">
      <c r="A628" s="81">
        <v>90</v>
      </c>
      <c r="B628" s="82"/>
      <c r="C628" s="104" t="s">
        <v>370</v>
      </c>
      <c r="D628" s="104" t="s">
        <v>165</v>
      </c>
      <c r="E628" s="84" t="s">
        <v>371</v>
      </c>
      <c r="F628" s="89">
        <v>18</v>
      </c>
      <c r="G628" s="89">
        <v>30</v>
      </c>
      <c r="H628" s="90">
        <v>23</v>
      </c>
      <c r="I628" s="86"/>
      <c r="J628" s="86"/>
      <c r="K628" s="87"/>
      <c r="L628" s="86"/>
      <c r="M628" s="86"/>
      <c r="N628" s="87"/>
      <c r="O628" s="86"/>
      <c r="P628" s="86"/>
      <c r="Q628" s="87"/>
    </row>
    <row r="629" spans="1:17" ht="45" customHeight="1">
      <c r="A629" s="81">
        <v>90</v>
      </c>
      <c r="B629" s="82"/>
      <c r="C629" s="104" t="s">
        <v>370</v>
      </c>
      <c r="D629" s="104" t="s">
        <v>165</v>
      </c>
      <c r="E629" s="84" t="s">
        <v>371</v>
      </c>
      <c r="F629" s="85"/>
      <c r="G629" s="85"/>
      <c r="H629" s="88"/>
      <c r="I629" s="86"/>
      <c r="J629" s="86"/>
      <c r="K629" s="87"/>
      <c r="L629" s="86"/>
      <c r="M629" s="86"/>
      <c r="N629" s="87"/>
      <c r="O629" s="86"/>
      <c r="P629" s="86"/>
      <c r="Q629" s="87"/>
    </row>
    <row r="630" spans="1:17" ht="14.45" customHeight="1">
      <c r="A630" s="81">
        <v>90</v>
      </c>
      <c r="B630" s="82"/>
      <c r="C630" s="104" t="s">
        <v>370</v>
      </c>
      <c r="D630" s="104" t="s">
        <v>165</v>
      </c>
      <c r="E630" s="84" t="s">
        <v>371</v>
      </c>
      <c r="F630" s="85"/>
      <c r="G630" s="85"/>
      <c r="H630" s="88"/>
      <c r="I630" s="86"/>
      <c r="J630" s="86"/>
      <c r="K630" s="87"/>
      <c r="L630" s="86"/>
      <c r="M630" s="86"/>
      <c r="N630" s="87"/>
      <c r="O630" s="86"/>
      <c r="P630" s="86"/>
      <c r="Q630" s="87"/>
    </row>
    <row r="631" spans="1:17" ht="24" customHeight="1">
      <c r="A631" s="91">
        <v>90</v>
      </c>
      <c r="B631" s="92"/>
      <c r="C631" s="105" t="s">
        <v>370</v>
      </c>
      <c r="D631" s="105" t="s">
        <v>165</v>
      </c>
      <c r="E631" s="94" t="s">
        <v>371</v>
      </c>
      <c r="F631" s="95" t="s">
        <v>56</v>
      </c>
      <c r="G631" s="96">
        <v>8450</v>
      </c>
      <c r="H631" s="97">
        <v>8450</v>
      </c>
      <c r="I631" s="98"/>
      <c r="J631" s="98"/>
      <c r="K631" s="99"/>
      <c r="L631" s="98"/>
      <c r="M631" s="98"/>
      <c r="N631" s="99"/>
      <c r="O631" s="98"/>
      <c r="P631" s="98"/>
      <c r="Q631" s="99"/>
    </row>
    <row r="632" spans="1:17" ht="14.45" customHeight="1">
      <c r="A632" s="75">
        <v>91</v>
      </c>
      <c r="B632" s="76"/>
      <c r="C632" s="103" t="s">
        <v>372</v>
      </c>
      <c r="D632" s="103" t="s">
        <v>165</v>
      </c>
      <c r="E632" s="78" t="s">
        <v>371</v>
      </c>
      <c r="F632" s="79" t="s">
        <v>50</v>
      </c>
      <c r="G632" s="79" t="s">
        <v>50</v>
      </c>
      <c r="H632" s="80" t="s">
        <v>50</v>
      </c>
      <c r="I632" s="79"/>
      <c r="J632" s="79"/>
      <c r="K632" s="80"/>
      <c r="L632" s="79"/>
      <c r="M632" s="79"/>
      <c r="N632" s="80"/>
      <c r="O632" s="79"/>
      <c r="P632" s="79"/>
      <c r="Q632" s="80"/>
    </row>
    <row r="633" spans="1:17" ht="60" customHeight="1">
      <c r="A633" s="81">
        <v>91</v>
      </c>
      <c r="B633" s="82"/>
      <c r="C633" s="104" t="s">
        <v>372</v>
      </c>
      <c r="D633" s="104" t="s">
        <v>165</v>
      </c>
      <c r="E633" s="84" t="s">
        <v>371</v>
      </c>
      <c r="F633" s="85"/>
      <c r="G633" s="86"/>
      <c r="H633" s="87"/>
      <c r="I633" s="86"/>
      <c r="J633" s="86"/>
      <c r="K633" s="87"/>
      <c r="L633" s="86"/>
      <c r="M633" s="86"/>
      <c r="N633" s="87"/>
      <c r="O633" s="86"/>
      <c r="P633" s="86"/>
      <c r="Q633" s="87"/>
    </row>
    <row r="634" spans="1:17" ht="45" customHeight="1">
      <c r="A634" s="81">
        <v>91</v>
      </c>
      <c r="B634" s="82"/>
      <c r="C634" s="104" t="s">
        <v>372</v>
      </c>
      <c r="D634" s="104" t="s">
        <v>165</v>
      </c>
      <c r="E634" s="84" t="s">
        <v>371</v>
      </c>
      <c r="F634" s="85"/>
      <c r="G634" s="85"/>
      <c r="H634" s="88"/>
      <c r="I634" s="86"/>
      <c r="J634" s="86"/>
      <c r="K634" s="87"/>
      <c r="L634" s="86"/>
      <c r="M634" s="86"/>
      <c r="N634" s="87"/>
      <c r="O634" s="86"/>
      <c r="P634" s="86"/>
      <c r="Q634" s="87"/>
    </row>
    <row r="635" spans="1:17" ht="14.45" customHeight="1">
      <c r="A635" s="81">
        <v>91</v>
      </c>
      <c r="B635" s="82"/>
      <c r="C635" s="104" t="s">
        <v>372</v>
      </c>
      <c r="D635" s="104" t="s">
        <v>165</v>
      </c>
      <c r="E635" s="84" t="s">
        <v>371</v>
      </c>
      <c r="F635" s="89">
        <v>18</v>
      </c>
      <c r="G635" s="89">
        <v>30</v>
      </c>
      <c r="H635" s="90">
        <v>23</v>
      </c>
      <c r="I635" s="86"/>
      <c r="J635" s="86"/>
      <c r="K635" s="87"/>
      <c r="L635" s="86"/>
      <c r="M635" s="86"/>
      <c r="N635" s="87"/>
      <c r="O635" s="86"/>
      <c r="P635" s="86"/>
      <c r="Q635" s="87"/>
    </row>
    <row r="636" spans="1:17" ht="45" customHeight="1">
      <c r="A636" s="81">
        <v>91</v>
      </c>
      <c r="B636" s="82"/>
      <c r="C636" s="104" t="s">
        <v>372</v>
      </c>
      <c r="D636" s="104" t="s">
        <v>165</v>
      </c>
      <c r="E636" s="84" t="s">
        <v>371</v>
      </c>
      <c r="F636" s="85"/>
      <c r="G636" s="85"/>
      <c r="H636" s="88"/>
      <c r="I636" s="86"/>
      <c r="J636" s="86"/>
      <c r="K636" s="87"/>
      <c r="L636" s="86"/>
      <c r="M636" s="86"/>
      <c r="N636" s="87"/>
      <c r="O636" s="86"/>
      <c r="P636" s="86"/>
      <c r="Q636" s="87"/>
    </row>
    <row r="637" spans="1:17" ht="14.45" customHeight="1">
      <c r="A637" s="81">
        <v>91</v>
      </c>
      <c r="B637" s="82"/>
      <c r="C637" s="104" t="s">
        <v>372</v>
      </c>
      <c r="D637" s="104" t="s">
        <v>165</v>
      </c>
      <c r="E637" s="84" t="s">
        <v>371</v>
      </c>
      <c r="F637" s="85"/>
      <c r="G637" s="85"/>
      <c r="H637" s="88"/>
      <c r="I637" s="86"/>
      <c r="J637" s="86"/>
      <c r="K637" s="87"/>
      <c r="L637" s="86"/>
      <c r="M637" s="86"/>
      <c r="N637" s="87"/>
      <c r="O637" s="86"/>
      <c r="P637" s="86"/>
      <c r="Q637" s="87"/>
    </row>
    <row r="638" spans="1:17" ht="24" customHeight="1">
      <c r="A638" s="91">
        <v>91</v>
      </c>
      <c r="B638" s="92"/>
      <c r="C638" s="105" t="s">
        <v>372</v>
      </c>
      <c r="D638" s="105" t="s">
        <v>165</v>
      </c>
      <c r="E638" s="94" t="s">
        <v>371</v>
      </c>
      <c r="F638" s="95" t="s">
        <v>56</v>
      </c>
      <c r="G638" s="96">
        <v>8450</v>
      </c>
      <c r="H638" s="97">
        <v>8450</v>
      </c>
      <c r="I638" s="98"/>
      <c r="J638" s="98"/>
      <c r="K638" s="99"/>
      <c r="L638" s="98"/>
      <c r="M638" s="98"/>
      <c r="N638" s="99"/>
      <c r="O638" s="98"/>
      <c r="P638" s="98"/>
      <c r="Q638" s="99"/>
    </row>
    <row r="639" spans="1:17" ht="14.45" customHeight="1">
      <c r="A639" s="75">
        <v>92</v>
      </c>
      <c r="B639" s="76"/>
      <c r="C639" s="103" t="s">
        <v>373</v>
      </c>
      <c r="D639" s="103" t="s">
        <v>165</v>
      </c>
      <c r="E639" s="78" t="s">
        <v>341</v>
      </c>
      <c r="F639" s="79" t="s">
        <v>50</v>
      </c>
      <c r="G639" s="79" t="s">
        <v>50</v>
      </c>
      <c r="H639" s="80" t="s">
        <v>50</v>
      </c>
      <c r="I639" s="79"/>
      <c r="J639" s="79"/>
      <c r="K639" s="80"/>
      <c r="L639" s="79"/>
      <c r="M639" s="79"/>
      <c r="N639" s="80"/>
      <c r="O639" s="79"/>
      <c r="P639" s="79"/>
      <c r="Q639" s="80"/>
    </row>
    <row r="640" spans="1:17" ht="60" customHeight="1">
      <c r="A640" s="81">
        <v>92</v>
      </c>
      <c r="B640" s="82"/>
      <c r="C640" s="104" t="s">
        <v>373</v>
      </c>
      <c r="D640" s="104" t="s">
        <v>165</v>
      </c>
      <c r="E640" s="84" t="s">
        <v>341</v>
      </c>
      <c r="F640" s="85"/>
      <c r="G640" s="86"/>
      <c r="H640" s="87"/>
      <c r="I640" s="86"/>
      <c r="J640" s="86"/>
      <c r="K640" s="87"/>
      <c r="L640" s="86"/>
      <c r="M640" s="86"/>
      <c r="N640" s="87"/>
      <c r="O640" s="86"/>
      <c r="P640" s="86"/>
      <c r="Q640" s="87"/>
    </row>
    <row r="641" spans="1:17" ht="45" customHeight="1">
      <c r="A641" s="81">
        <v>92</v>
      </c>
      <c r="B641" s="82"/>
      <c r="C641" s="104" t="s">
        <v>373</v>
      </c>
      <c r="D641" s="104" t="s">
        <v>165</v>
      </c>
      <c r="E641" s="84" t="s">
        <v>341</v>
      </c>
      <c r="F641" s="85"/>
      <c r="G641" s="85"/>
      <c r="H641" s="88"/>
      <c r="I641" s="86"/>
      <c r="J641" s="86"/>
      <c r="K641" s="87"/>
      <c r="L641" s="86"/>
      <c r="M641" s="86"/>
      <c r="N641" s="87"/>
      <c r="O641" s="86"/>
      <c r="P641" s="86"/>
      <c r="Q641" s="87"/>
    </row>
    <row r="642" spans="1:17" ht="14.45" customHeight="1">
      <c r="A642" s="81">
        <v>92</v>
      </c>
      <c r="B642" s="82"/>
      <c r="C642" s="104" t="s">
        <v>373</v>
      </c>
      <c r="D642" s="104" t="s">
        <v>165</v>
      </c>
      <c r="E642" s="84" t="s">
        <v>341</v>
      </c>
      <c r="F642" s="89">
        <v>17</v>
      </c>
      <c r="G642" s="89">
        <v>32</v>
      </c>
      <c r="H642" s="90">
        <v>23</v>
      </c>
      <c r="I642" s="86"/>
      <c r="J642" s="86"/>
      <c r="K642" s="87"/>
      <c r="L642" s="86"/>
      <c r="M642" s="86"/>
      <c r="N642" s="87"/>
      <c r="O642" s="86"/>
      <c r="P642" s="86"/>
      <c r="Q642" s="87"/>
    </row>
    <row r="643" spans="1:17" ht="45" customHeight="1">
      <c r="A643" s="81">
        <v>92</v>
      </c>
      <c r="B643" s="82"/>
      <c r="C643" s="104" t="s">
        <v>373</v>
      </c>
      <c r="D643" s="104" t="s">
        <v>165</v>
      </c>
      <c r="E643" s="84" t="s">
        <v>341</v>
      </c>
      <c r="F643" s="85"/>
      <c r="G643" s="85"/>
      <c r="H643" s="88"/>
      <c r="I643" s="86"/>
      <c r="J643" s="86"/>
      <c r="K643" s="87"/>
      <c r="L643" s="86"/>
      <c r="M643" s="86"/>
      <c r="N643" s="87"/>
      <c r="O643" s="86"/>
      <c r="P643" s="86"/>
      <c r="Q643" s="87"/>
    </row>
    <row r="644" spans="1:17" ht="14.45" customHeight="1">
      <c r="A644" s="81">
        <v>92</v>
      </c>
      <c r="B644" s="82"/>
      <c r="C644" s="104" t="s">
        <v>373</v>
      </c>
      <c r="D644" s="104" t="s">
        <v>165</v>
      </c>
      <c r="E644" s="84" t="s">
        <v>341</v>
      </c>
      <c r="F644" s="85"/>
      <c r="G644" s="85"/>
      <c r="H644" s="88"/>
      <c r="I644" s="86"/>
      <c r="J644" s="86"/>
      <c r="K644" s="87"/>
      <c r="L644" s="86"/>
      <c r="M644" s="86"/>
      <c r="N644" s="87"/>
      <c r="O644" s="86"/>
      <c r="P644" s="86"/>
      <c r="Q644" s="87"/>
    </row>
    <row r="645" spans="1:17" ht="24" customHeight="1">
      <c r="A645" s="91">
        <v>92</v>
      </c>
      <c r="B645" s="92"/>
      <c r="C645" s="105" t="s">
        <v>373</v>
      </c>
      <c r="D645" s="105" t="s">
        <v>165</v>
      </c>
      <c r="E645" s="94" t="s">
        <v>341</v>
      </c>
      <c r="F645" s="95" t="s">
        <v>56</v>
      </c>
      <c r="G645" s="96">
        <v>8620</v>
      </c>
      <c r="H645" s="97">
        <v>8620</v>
      </c>
      <c r="I645" s="98"/>
      <c r="J645" s="98"/>
      <c r="K645" s="99"/>
      <c r="L645" s="98"/>
      <c r="M645" s="98"/>
      <c r="N645" s="99"/>
      <c r="O645" s="98"/>
      <c r="P645" s="98"/>
      <c r="Q645" s="99"/>
    </row>
    <row r="646" spans="1:17" ht="14.45" customHeight="1">
      <c r="A646" s="75">
        <v>93</v>
      </c>
      <c r="B646" s="76"/>
      <c r="C646" s="103" t="s">
        <v>374</v>
      </c>
      <c r="D646" s="103" t="s">
        <v>165</v>
      </c>
      <c r="E646" s="78" t="s">
        <v>341</v>
      </c>
      <c r="F646" s="79" t="s">
        <v>50</v>
      </c>
      <c r="G646" s="79" t="s">
        <v>50</v>
      </c>
      <c r="H646" s="80" t="s">
        <v>50</v>
      </c>
      <c r="I646" s="79"/>
      <c r="J646" s="79"/>
      <c r="K646" s="80"/>
      <c r="L646" s="79"/>
      <c r="M646" s="79"/>
      <c r="N646" s="80"/>
      <c r="O646" s="79"/>
      <c r="P646" s="79"/>
      <c r="Q646" s="80"/>
    </row>
    <row r="647" spans="1:17" ht="60" customHeight="1">
      <c r="A647" s="81">
        <v>93</v>
      </c>
      <c r="B647" s="82"/>
      <c r="C647" s="104" t="s">
        <v>374</v>
      </c>
      <c r="D647" s="104" t="s">
        <v>165</v>
      </c>
      <c r="E647" s="84" t="s">
        <v>341</v>
      </c>
      <c r="F647" s="85"/>
      <c r="G647" s="86"/>
      <c r="H647" s="87"/>
      <c r="I647" s="86"/>
      <c r="J647" s="86"/>
      <c r="K647" s="87"/>
      <c r="L647" s="86"/>
      <c r="M647" s="86"/>
      <c r="N647" s="87"/>
      <c r="O647" s="86"/>
      <c r="P647" s="86"/>
      <c r="Q647" s="87"/>
    </row>
    <row r="648" spans="1:17" ht="45" customHeight="1">
      <c r="A648" s="81">
        <v>93</v>
      </c>
      <c r="B648" s="82"/>
      <c r="C648" s="104" t="s">
        <v>374</v>
      </c>
      <c r="D648" s="104" t="s">
        <v>165</v>
      </c>
      <c r="E648" s="84" t="s">
        <v>341</v>
      </c>
      <c r="F648" s="85"/>
      <c r="G648" s="85"/>
      <c r="H648" s="88"/>
      <c r="I648" s="86"/>
      <c r="J648" s="86"/>
      <c r="K648" s="87"/>
      <c r="L648" s="86"/>
      <c r="M648" s="86"/>
      <c r="N648" s="87"/>
      <c r="O648" s="86"/>
      <c r="P648" s="86"/>
      <c r="Q648" s="87"/>
    </row>
    <row r="649" spans="1:17" ht="14.45" customHeight="1">
      <c r="A649" s="81">
        <v>93</v>
      </c>
      <c r="B649" s="82"/>
      <c r="C649" s="104" t="s">
        <v>374</v>
      </c>
      <c r="D649" s="104" t="s">
        <v>165</v>
      </c>
      <c r="E649" s="84" t="s">
        <v>341</v>
      </c>
      <c r="F649" s="89">
        <v>17</v>
      </c>
      <c r="G649" s="89">
        <v>32</v>
      </c>
      <c r="H649" s="90">
        <v>23</v>
      </c>
      <c r="I649" s="86"/>
      <c r="J649" s="86"/>
      <c r="K649" s="87"/>
      <c r="L649" s="86"/>
      <c r="M649" s="86"/>
      <c r="N649" s="87"/>
      <c r="O649" s="86"/>
      <c r="P649" s="86"/>
      <c r="Q649" s="87"/>
    </row>
    <row r="650" spans="1:17" ht="45" customHeight="1">
      <c r="A650" s="81">
        <v>93</v>
      </c>
      <c r="B650" s="82"/>
      <c r="C650" s="104" t="s">
        <v>374</v>
      </c>
      <c r="D650" s="104" t="s">
        <v>165</v>
      </c>
      <c r="E650" s="84" t="s">
        <v>341</v>
      </c>
      <c r="F650" s="85"/>
      <c r="G650" s="85"/>
      <c r="H650" s="88"/>
      <c r="I650" s="86"/>
      <c r="J650" s="86"/>
      <c r="K650" s="87"/>
      <c r="L650" s="86"/>
      <c r="M650" s="86"/>
      <c r="N650" s="87"/>
      <c r="O650" s="86"/>
      <c r="P650" s="86"/>
      <c r="Q650" s="87"/>
    </row>
    <row r="651" spans="1:17" ht="14.45" customHeight="1">
      <c r="A651" s="81">
        <v>93</v>
      </c>
      <c r="B651" s="82"/>
      <c r="C651" s="104" t="s">
        <v>374</v>
      </c>
      <c r="D651" s="104" t="s">
        <v>165</v>
      </c>
      <c r="E651" s="84" t="s">
        <v>341</v>
      </c>
      <c r="F651" s="85"/>
      <c r="G651" s="85"/>
      <c r="H651" s="88"/>
      <c r="I651" s="86"/>
      <c r="J651" s="86"/>
      <c r="K651" s="87"/>
      <c r="L651" s="86"/>
      <c r="M651" s="86"/>
      <c r="N651" s="87"/>
      <c r="O651" s="86"/>
      <c r="P651" s="86"/>
      <c r="Q651" s="87"/>
    </row>
    <row r="652" spans="1:17" ht="24" customHeight="1">
      <c r="A652" s="91">
        <v>93</v>
      </c>
      <c r="B652" s="92"/>
      <c r="C652" s="105" t="s">
        <v>374</v>
      </c>
      <c r="D652" s="105" t="s">
        <v>165</v>
      </c>
      <c r="E652" s="94" t="s">
        <v>341</v>
      </c>
      <c r="F652" s="95" t="s">
        <v>56</v>
      </c>
      <c r="G652" s="96">
        <v>8620</v>
      </c>
      <c r="H652" s="97">
        <v>8620</v>
      </c>
      <c r="I652" s="98"/>
      <c r="J652" s="98"/>
      <c r="K652" s="99"/>
      <c r="L652" s="98"/>
      <c r="M652" s="98"/>
      <c r="N652" s="99"/>
      <c r="O652" s="98"/>
      <c r="P652" s="98"/>
      <c r="Q652" s="99"/>
    </row>
    <row r="653" spans="1:17" ht="14.45" customHeight="1">
      <c r="A653" s="75">
        <v>94</v>
      </c>
      <c r="B653" s="76"/>
      <c r="C653" s="103" t="s">
        <v>375</v>
      </c>
      <c r="D653" s="103" t="s">
        <v>165</v>
      </c>
      <c r="E653" s="78" t="s">
        <v>341</v>
      </c>
      <c r="F653" s="79" t="s">
        <v>50</v>
      </c>
      <c r="G653" s="79" t="s">
        <v>50</v>
      </c>
      <c r="H653" s="80" t="s">
        <v>50</v>
      </c>
      <c r="I653" s="79"/>
      <c r="J653" s="79"/>
      <c r="K653" s="80"/>
      <c r="L653" s="79"/>
      <c r="M653" s="79"/>
      <c r="N653" s="80"/>
      <c r="O653" s="79"/>
      <c r="P653" s="79"/>
      <c r="Q653" s="80"/>
    </row>
    <row r="654" spans="1:17" ht="60" customHeight="1">
      <c r="A654" s="81">
        <v>94</v>
      </c>
      <c r="B654" s="82"/>
      <c r="C654" s="104" t="s">
        <v>375</v>
      </c>
      <c r="D654" s="104" t="s">
        <v>165</v>
      </c>
      <c r="E654" s="84" t="s">
        <v>341</v>
      </c>
      <c r="F654" s="85"/>
      <c r="G654" s="86"/>
      <c r="H654" s="87"/>
      <c r="I654" s="86"/>
      <c r="J654" s="86"/>
      <c r="K654" s="87"/>
      <c r="L654" s="86"/>
      <c r="M654" s="86"/>
      <c r="N654" s="87"/>
      <c r="O654" s="86"/>
      <c r="P654" s="86"/>
      <c r="Q654" s="87"/>
    </row>
    <row r="655" spans="1:17" ht="45" customHeight="1">
      <c r="A655" s="81">
        <v>94</v>
      </c>
      <c r="B655" s="82"/>
      <c r="C655" s="104" t="s">
        <v>375</v>
      </c>
      <c r="D655" s="104" t="s">
        <v>165</v>
      </c>
      <c r="E655" s="84" t="s">
        <v>341</v>
      </c>
      <c r="F655" s="85"/>
      <c r="G655" s="85"/>
      <c r="H655" s="88"/>
      <c r="I655" s="86"/>
      <c r="J655" s="86"/>
      <c r="K655" s="87"/>
      <c r="L655" s="86"/>
      <c r="M655" s="86"/>
      <c r="N655" s="87"/>
      <c r="O655" s="86"/>
      <c r="P655" s="86"/>
      <c r="Q655" s="87"/>
    </row>
    <row r="656" spans="1:17" ht="14.45" customHeight="1">
      <c r="A656" s="81">
        <v>94</v>
      </c>
      <c r="B656" s="82"/>
      <c r="C656" s="104" t="s">
        <v>375</v>
      </c>
      <c r="D656" s="104" t="s">
        <v>165</v>
      </c>
      <c r="E656" s="84" t="s">
        <v>341</v>
      </c>
      <c r="F656" s="89">
        <v>24</v>
      </c>
      <c r="G656" s="89">
        <v>29</v>
      </c>
      <c r="H656" s="90">
        <v>25</v>
      </c>
      <c r="I656" s="86"/>
      <c r="J656" s="86"/>
      <c r="K656" s="87"/>
      <c r="L656" s="86"/>
      <c r="M656" s="86"/>
      <c r="N656" s="87"/>
      <c r="O656" s="86"/>
      <c r="P656" s="86"/>
      <c r="Q656" s="87"/>
    </row>
    <row r="657" spans="1:17" ht="45" customHeight="1">
      <c r="A657" s="81">
        <v>94</v>
      </c>
      <c r="B657" s="82"/>
      <c r="C657" s="104" t="s">
        <v>375</v>
      </c>
      <c r="D657" s="104" t="s">
        <v>165</v>
      </c>
      <c r="E657" s="84" t="s">
        <v>341</v>
      </c>
      <c r="F657" s="85"/>
      <c r="G657" s="85"/>
      <c r="H657" s="88"/>
      <c r="I657" s="86"/>
      <c r="J657" s="86"/>
      <c r="K657" s="87"/>
      <c r="L657" s="86"/>
      <c r="M657" s="86"/>
      <c r="N657" s="87"/>
      <c r="O657" s="86"/>
      <c r="P657" s="86"/>
      <c r="Q657" s="87"/>
    </row>
    <row r="658" spans="1:17" ht="14.45" customHeight="1">
      <c r="A658" s="81">
        <v>94</v>
      </c>
      <c r="B658" s="82"/>
      <c r="C658" s="104" t="s">
        <v>375</v>
      </c>
      <c r="D658" s="104" t="s">
        <v>165</v>
      </c>
      <c r="E658" s="84" t="s">
        <v>341</v>
      </c>
      <c r="F658" s="85"/>
      <c r="G658" s="85"/>
      <c r="H658" s="88"/>
      <c r="I658" s="86"/>
      <c r="J658" s="86"/>
      <c r="K658" s="87"/>
      <c r="L658" s="86"/>
      <c r="M658" s="86"/>
      <c r="N658" s="87"/>
      <c r="O658" s="86"/>
      <c r="P658" s="86"/>
      <c r="Q658" s="87"/>
    </row>
    <row r="659" spans="1:17" ht="24" customHeight="1">
      <c r="A659" s="91">
        <v>94</v>
      </c>
      <c r="B659" s="92"/>
      <c r="C659" s="105" t="s">
        <v>375</v>
      </c>
      <c r="D659" s="105" t="s">
        <v>165</v>
      </c>
      <c r="E659" s="94" t="s">
        <v>341</v>
      </c>
      <c r="F659" s="95" t="s">
        <v>56</v>
      </c>
      <c r="G659" s="96">
        <v>3300</v>
      </c>
      <c r="H659" s="97">
        <v>3300</v>
      </c>
      <c r="I659" s="98"/>
      <c r="J659" s="98"/>
      <c r="K659" s="99"/>
      <c r="L659" s="98"/>
      <c r="M659" s="98"/>
      <c r="N659" s="99"/>
      <c r="O659" s="98"/>
      <c r="P659" s="98"/>
      <c r="Q659" s="99"/>
    </row>
    <row r="660" spans="1:17" ht="14.45" customHeight="1">
      <c r="A660" s="75">
        <v>95</v>
      </c>
      <c r="B660" s="76"/>
      <c r="C660" s="103" t="s">
        <v>376</v>
      </c>
      <c r="D660" s="103" t="s">
        <v>165</v>
      </c>
      <c r="E660" s="78" t="s">
        <v>341</v>
      </c>
      <c r="F660" s="79" t="s">
        <v>50</v>
      </c>
      <c r="G660" s="79" t="s">
        <v>50</v>
      </c>
      <c r="H660" s="80" t="s">
        <v>50</v>
      </c>
      <c r="I660" s="79"/>
      <c r="J660" s="79"/>
      <c r="K660" s="80"/>
      <c r="L660" s="79"/>
      <c r="M660" s="79"/>
      <c r="N660" s="80"/>
      <c r="O660" s="79"/>
      <c r="P660" s="79"/>
      <c r="Q660" s="80"/>
    </row>
    <row r="661" spans="1:17" ht="60" customHeight="1">
      <c r="A661" s="81">
        <v>95</v>
      </c>
      <c r="B661" s="82"/>
      <c r="C661" s="104" t="s">
        <v>376</v>
      </c>
      <c r="D661" s="104" t="s">
        <v>165</v>
      </c>
      <c r="E661" s="84" t="s">
        <v>341</v>
      </c>
      <c r="F661" s="85"/>
      <c r="G661" s="86"/>
      <c r="H661" s="87"/>
      <c r="I661" s="86"/>
      <c r="J661" s="86"/>
      <c r="K661" s="87"/>
      <c r="L661" s="86"/>
      <c r="M661" s="86"/>
      <c r="N661" s="87"/>
      <c r="O661" s="86"/>
      <c r="P661" s="86"/>
      <c r="Q661" s="87"/>
    </row>
    <row r="662" spans="1:17" ht="45" customHeight="1">
      <c r="A662" s="81">
        <v>95</v>
      </c>
      <c r="B662" s="82"/>
      <c r="C662" s="104" t="s">
        <v>376</v>
      </c>
      <c r="D662" s="104" t="s">
        <v>165</v>
      </c>
      <c r="E662" s="84" t="s">
        <v>341</v>
      </c>
      <c r="F662" s="85"/>
      <c r="G662" s="85"/>
      <c r="H662" s="88"/>
      <c r="I662" s="86"/>
      <c r="J662" s="86"/>
      <c r="K662" s="87"/>
      <c r="L662" s="86"/>
      <c r="M662" s="86"/>
      <c r="N662" s="87"/>
      <c r="O662" s="86"/>
      <c r="P662" s="86"/>
      <c r="Q662" s="87"/>
    </row>
    <row r="663" spans="1:17" ht="14.45" customHeight="1">
      <c r="A663" s="81">
        <v>95</v>
      </c>
      <c r="B663" s="82"/>
      <c r="C663" s="104" t="s">
        <v>376</v>
      </c>
      <c r="D663" s="104" t="s">
        <v>165</v>
      </c>
      <c r="E663" s="84" t="s">
        <v>341</v>
      </c>
      <c r="F663" s="89">
        <v>24</v>
      </c>
      <c r="G663" s="89">
        <v>29</v>
      </c>
      <c r="H663" s="90">
        <v>25</v>
      </c>
      <c r="I663" s="86"/>
      <c r="J663" s="86"/>
      <c r="K663" s="87"/>
      <c r="L663" s="86"/>
      <c r="M663" s="86"/>
      <c r="N663" s="87"/>
      <c r="O663" s="86"/>
      <c r="P663" s="86"/>
      <c r="Q663" s="87"/>
    </row>
    <row r="664" spans="1:17" ht="45" customHeight="1">
      <c r="A664" s="81">
        <v>95</v>
      </c>
      <c r="B664" s="82"/>
      <c r="C664" s="104" t="s">
        <v>376</v>
      </c>
      <c r="D664" s="104" t="s">
        <v>165</v>
      </c>
      <c r="E664" s="84" t="s">
        <v>341</v>
      </c>
      <c r="F664" s="85"/>
      <c r="G664" s="85"/>
      <c r="H664" s="88"/>
      <c r="I664" s="86"/>
      <c r="J664" s="86"/>
      <c r="K664" s="87"/>
      <c r="L664" s="86"/>
      <c r="M664" s="86"/>
      <c r="N664" s="87"/>
      <c r="O664" s="86"/>
      <c r="P664" s="86"/>
      <c r="Q664" s="87"/>
    </row>
    <row r="665" spans="1:17" ht="14.45" customHeight="1">
      <c r="A665" s="81">
        <v>95</v>
      </c>
      <c r="B665" s="82"/>
      <c r="C665" s="104" t="s">
        <v>376</v>
      </c>
      <c r="D665" s="104" t="s">
        <v>165</v>
      </c>
      <c r="E665" s="84" t="s">
        <v>341</v>
      </c>
      <c r="F665" s="85"/>
      <c r="G665" s="85"/>
      <c r="H665" s="88"/>
      <c r="I665" s="86"/>
      <c r="J665" s="86"/>
      <c r="K665" s="87"/>
      <c r="L665" s="86"/>
      <c r="M665" s="86"/>
      <c r="N665" s="87"/>
      <c r="O665" s="86"/>
      <c r="P665" s="86"/>
      <c r="Q665" s="87"/>
    </row>
    <row r="666" spans="1:17" ht="24" customHeight="1">
      <c r="A666" s="91">
        <v>95</v>
      </c>
      <c r="B666" s="92"/>
      <c r="C666" s="105" t="s">
        <v>376</v>
      </c>
      <c r="D666" s="105" t="s">
        <v>165</v>
      </c>
      <c r="E666" s="94" t="s">
        <v>341</v>
      </c>
      <c r="F666" s="95" t="s">
        <v>56</v>
      </c>
      <c r="G666" s="96">
        <v>3300</v>
      </c>
      <c r="H666" s="97">
        <v>3300</v>
      </c>
      <c r="I666" s="98"/>
      <c r="J666" s="98"/>
      <c r="K666" s="99"/>
      <c r="L666" s="98"/>
      <c r="M666" s="98"/>
      <c r="N666" s="99"/>
      <c r="O666" s="98"/>
      <c r="P666" s="98"/>
      <c r="Q666" s="99"/>
    </row>
    <row r="667" spans="1:17" ht="14.45" customHeight="1">
      <c r="A667" s="75">
        <v>96</v>
      </c>
      <c r="B667" s="76"/>
      <c r="C667" s="103" t="s">
        <v>353</v>
      </c>
      <c r="D667" s="103" t="s">
        <v>165</v>
      </c>
      <c r="E667" s="78" t="s">
        <v>331</v>
      </c>
      <c r="F667" s="79" t="s">
        <v>50</v>
      </c>
      <c r="G667" s="79" t="s">
        <v>50</v>
      </c>
      <c r="H667" s="80" t="s">
        <v>50</v>
      </c>
      <c r="I667" s="79" t="s">
        <v>51</v>
      </c>
      <c r="J667" s="79" t="s">
        <v>51</v>
      </c>
      <c r="K667" s="80" t="s">
        <v>51</v>
      </c>
      <c r="L667" s="79"/>
      <c r="M667" s="79"/>
      <c r="N667" s="80"/>
      <c r="O667" s="79"/>
      <c r="P667" s="79"/>
      <c r="Q667" s="80"/>
    </row>
    <row r="668" spans="1:17" ht="60" customHeight="1">
      <c r="A668" s="81">
        <v>96</v>
      </c>
      <c r="B668" s="82"/>
      <c r="C668" s="104" t="s">
        <v>353</v>
      </c>
      <c r="D668" s="104" t="s">
        <v>165</v>
      </c>
      <c r="E668" s="84" t="s">
        <v>331</v>
      </c>
      <c r="F668" s="85"/>
      <c r="G668" s="86" t="s">
        <v>377</v>
      </c>
      <c r="H668" s="87" t="s">
        <v>377</v>
      </c>
      <c r="I668" s="85"/>
      <c r="J668" s="86"/>
      <c r="K668" s="87"/>
      <c r="L668" s="86"/>
      <c r="M668" s="86"/>
      <c r="N668" s="87"/>
      <c r="O668" s="86"/>
      <c r="P668" s="86"/>
      <c r="Q668" s="87"/>
    </row>
    <row r="669" spans="1:17" ht="45" customHeight="1">
      <c r="A669" s="81">
        <v>96</v>
      </c>
      <c r="B669" s="82"/>
      <c r="C669" s="104" t="s">
        <v>353</v>
      </c>
      <c r="D669" s="104" t="s">
        <v>165</v>
      </c>
      <c r="E669" s="84" t="s">
        <v>331</v>
      </c>
      <c r="F669" s="85"/>
      <c r="G669" s="85"/>
      <c r="H669" s="88"/>
      <c r="I669" s="85"/>
      <c r="J669" s="85"/>
      <c r="K669" s="88"/>
      <c r="L669" s="86"/>
      <c r="M669" s="86"/>
      <c r="N669" s="87"/>
      <c r="O669" s="86"/>
      <c r="P669" s="86"/>
      <c r="Q669" s="87"/>
    </row>
    <row r="670" spans="1:17" ht="14.45" customHeight="1">
      <c r="A670" s="81">
        <v>96</v>
      </c>
      <c r="B670" s="82"/>
      <c r="C670" s="104" t="s">
        <v>353</v>
      </c>
      <c r="D670" s="104" t="s">
        <v>165</v>
      </c>
      <c r="E670" s="84" t="s">
        <v>331</v>
      </c>
      <c r="F670" s="89">
        <v>19</v>
      </c>
      <c r="G670" s="89">
        <v>24</v>
      </c>
      <c r="H670" s="90">
        <v>4</v>
      </c>
      <c r="I670" s="89">
        <v>26</v>
      </c>
      <c r="J670" s="89">
        <v>33</v>
      </c>
      <c r="K670" s="90">
        <v>5</v>
      </c>
      <c r="L670" s="86"/>
      <c r="M670" s="86"/>
      <c r="N670" s="87"/>
      <c r="O670" s="86"/>
      <c r="P670" s="86"/>
      <c r="Q670" s="87"/>
    </row>
    <row r="671" spans="1:17" ht="45" customHeight="1">
      <c r="A671" s="81">
        <v>96</v>
      </c>
      <c r="B671" s="82"/>
      <c r="C671" s="104" t="s">
        <v>353</v>
      </c>
      <c r="D671" s="104" t="s">
        <v>165</v>
      </c>
      <c r="E671" s="84" t="s">
        <v>331</v>
      </c>
      <c r="F671" s="85"/>
      <c r="G671" s="85"/>
      <c r="H671" s="88"/>
      <c r="I671" s="85"/>
      <c r="J671" s="85"/>
      <c r="K671" s="88"/>
      <c r="L671" s="86"/>
      <c r="M671" s="86"/>
      <c r="N671" s="87"/>
      <c r="O671" s="86"/>
      <c r="P671" s="86"/>
      <c r="Q671" s="87"/>
    </row>
    <row r="672" spans="1:17" ht="14.45" customHeight="1">
      <c r="A672" s="81">
        <v>96</v>
      </c>
      <c r="B672" s="82"/>
      <c r="C672" s="104" t="s">
        <v>353</v>
      </c>
      <c r="D672" s="104" t="s">
        <v>165</v>
      </c>
      <c r="E672" s="84" t="s">
        <v>331</v>
      </c>
      <c r="F672" s="89">
        <v>12</v>
      </c>
      <c r="G672" s="85"/>
      <c r="H672" s="88"/>
      <c r="I672" s="89">
        <v>16</v>
      </c>
      <c r="J672" s="85"/>
      <c r="K672" s="88"/>
      <c r="L672" s="86"/>
      <c r="M672" s="86"/>
      <c r="N672" s="87"/>
      <c r="O672" s="86"/>
      <c r="P672" s="86"/>
      <c r="Q672" s="87"/>
    </row>
    <row r="673" spans="1:17" ht="24" customHeight="1">
      <c r="A673" s="91">
        <v>96</v>
      </c>
      <c r="B673" s="92"/>
      <c r="C673" s="105" t="s">
        <v>353</v>
      </c>
      <c r="D673" s="105" t="s">
        <v>165</v>
      </c>
      <c r="E673" s="94" t="s">
        <v>331</v>
      </c>
      <c r="F673" s="95" t="s">
        <v>56</v>
      </c>
      <c r="G673" s="96">
        <v>6990</v>
      </c>
      <c r="H673" s="97">
        <v>6990</v>
      </c>
      <c r="I673" s="95" t="s">
        <v>56</v>
      </c>
      <c r="J673" s="96">
        <v>9380</v>
      </c>
      <c r="K673" s="97">
        <v>9380</v>
      </c>
      <c r="L673" s="98"/>
      <c r="M673" s="98"/>
      <c r="N673" s="99"/>
      <c r="O673" s="98"/>
      <c r="P673" s="98"/>
      <c r="Q673" s="99"/>
    </row>
    <row r="674" spans="1:17" ht="14.45" customHeight="1">
      <c r="A674" s="75">
        <v>97</v>
      </c>
      <c r="B674" s="76"/>
      <c r="C674" s="103" t="s">
        <v>352</v>
      </c>
      <c r="D674" s="103" t="s">
        <v>165</v>
      </c>
      <c r="E674" s="78" t="s">
        <v>331</v>
      </c>
      <c r="F674" s="79" t="s">
        <v>50</v>
      </c>
      <c r="G674" s="79" t="s">
        <v>50</v>
      </c>
      <c r="H674" s="80" t="s">
        <v>50</v>
      </c>
      <c r="I674" s="79" t="s">
        <v>51</v>
      </c>
      <c r="J674" s="79" t="s">
        <v>51</v>
      </c>
      <c r="K674" s="80" t="s">
        <v>51</v>
      </c>
      <c r="L674" s="79"/>
      <c r="M674" s="79"/>
      <c r="N674" s="80"/>
      <c r="O674" s="79"/>
      <c r="P674" s="79"/>
      <c r="Q674" s="80"/>
    </row>
    <row r="675" spans="1:17" ht="60" customHeight="1">
      <c r="A675" s="81">
        <v>97</v>
      </c>
      <c r="B675" s="82"/>
      <c r="C675" s="104" t="s">
        <v>352</v>
      </c>
      <c r="D675" s="104" t="s">
        <v>165</v>
      </c>
      <c r="E675" s="84" t="s">
        <v>331</v>
      </c>
      <c r="F675" s="85"/>
      <c r="G675" s="86" t="s">
        <v>378</v>
      </c>
      <c r="H675" s="87" t="s">
        <v>378</v>
      </c>
      <c r="I675" s="85"/>
      <c r="J675" s="86"/>
      <c r="K675" s="87"/>
      <c r="L675" s="86"/>
      <c r="M675" s="86"/>
      <c r="N675" s="87"/>
      <c r="O675" s="86"/>
      <c r="P675" s="86"/>
      <c r="Q675" s="87"/>
    </row>
    <row r="676" spans="1:17" ht="45" customHeight="1">
      <c r="A676" s="81">
        <v>97</v>
      </c>
      <c r="B676" s="82"/>
      <c r="C676" s="104" t="s">
        <v>352</v>
      </c>
      <c r="D676" s="104" t="s">
        <v>165</v>
      </c>
      <c r="E676" s="84" t="s">
        <v>331</v>
      </c>
      <c r="F676" s="85"/>
      <c r="G676" s="85"/>
      <c r="H676" s="88"/>
      <c r="I676" s="85"/>
      <c r="J676" s="85"/>
      <c r="K676" s="88"/>
      <c r="L676" s="86"/>
      <c r="M676" s="86"/>
      <c r="N676" s="87"/>
      <c r="O676" s="86"/>
      <c r="P676" s="86"/>
      <c r="Q676" s="87"/>
    </row>
    <row r="677" spans="1:17" ht="14.45" customHeight="1">
      <c r="A677" s="81">
        <v>97</v>
      </c>
      <c r="B677" s="82"/>
      <c r="C677" s="104" t="s">
        <v>352</v>
      </c>
      <c r="D677" s="104" t="s">
        <v>165</v>
      </c>
      <c r="E677" s="84" t="s">
        <v>331</v>
      </c>
      <c r="F677" s="89">
        <v>19</v>
      </c>
      <c r="G677" s="89">
        <v>24</v>
      </c>
      <c r="H677" s="90">
        <v>4</v>
      </c>
      <c r="I677" s="89">
        <v>26</v>
      </c>
      <c r="J677" s="89">
        <v>33</v>
      </c>
      <c r="K677" s="90">
        <v>5</v>
      </c>
      <c r="L677" s="86"/>
      <c r="M677" s="86"/>
      <c r="N677" s="87"/>
      <c r="O677" s="86"/>
      <c r="P677" s="86"/>
      <c r="Q677" s="87"/>
    </row>
    <row r="678" spans="1:17" ht="45" customHeight="1">
      <c r="A678" s="81">
        <v>97</v>
      </c>
      <c r="B678" s="82"/>
      <c r="C678" s="104" t="s">
        <v>352</v>
      </c>
      <c r="D678" s="104" t="s">
        <v>165</v>
      </c>
      <c r="E678" s="84" t="s">
        <v>331</v>
      </c>
      <c r="F678" s="85"/>
      <c r="G678" s="85"/>
      <c r="H678" s="88"/>
      <c r="I678" s="85"/>
      <c r="J678" s="85"/>
      <c r="K678" s="88"/>
      <c r="L678" s="86"/>
      <c r="M678" s="86"/>
      <c r="N678" s="87"/>
      <c r="O678" s="86"/>
      <c r="P678" s="86"/>
      <c r="Q678" s="87"/>
    </row>
    <row r="679" spans="1:17" ht="14.45" customHeight="1">
      <c r="A679" s="81">
        <v>97</v>
      </c>
      <c r="B679" s="82"/>
      <c r="C679" s="104" t="s">
        <v>352</v>
      </c>
      <c r="D679" s="104" t="s">
        <v>165</v>
      </c>
      <c r="E679" s="84" t="s">
        <v>331</v>
      </c>
      <c r="F679" s="89">
        <v>12</v>
      </c>
      <c r="G679" s="85"/>
      <c r="H679" s="88"/>
      <c r="I679" s="89">
        <v>16</v>
      </c>
      <c r="J679" s="85"/>
      <c r="K679" s="88"/>
      <c r="L679" s="86"/>
      <c r="M679" s="86"/>
      <c r="N679" s="87"/>
      <c r="O679" s="86"/>
      <c r="P679" s="86"/>
      <c r="Q679" s="87"/>
    </row>
    <row r="680" spans="1:17" ht="24" customHeight="1">
      <c r="A680" s="91">
        <v>97</v>
      </c>
      <c r="B680" s="92"/>
      <c r="C680" s="105" t="s">
        <v>352</v>
      </c>
      <c r="D680" s="105" t="s">
        <v>165</v>
      </c>
      <c r="E680" s="94" t="s">
        <v>331</v>
      </c>
      <c r="F680" s="95" t="s">
        <v>56</v>
      </c>
      <c r="G680" s="96">
        <v>6990</v>
      </c>
      <c r="H680" s="97">
        <v>6990</v>
      </c>
      <c r="I680" s="95" t="s">
        <v>56</v>
      </c>
      <c r="J680" s="96">
        <v>9380</v>
      </c>
      <c r="K680" s="97">
        <v>9380</v>
      </c>
      <c r="L680" s="98"/>
      <c r="M680" s="98"/>
      <c r="N680" s="99"/>
      <c r="O680" s="98"/>
      <c r="P680" s="98"/>
      <c r="Q680" s="99"/>
    </row>
    <row r="681" spans="1:17" ht="14.45" customHeight="1">
      <c r="A681" s="75">
        <v>98</v>
      </c>
      <c r="B681" s="76"/>
      <c r="C681" s="103" t="s">
        <v>354</v>
      </c>
      <c r="D681" s="103" t="s">
        <v>165</v>
      </c>
      <c r="E681" s="78" t="s">
        <v>331</v>
      </c>
      <c r="F681" s="79" t="s">
        <v>50</v>
      </c>
      <c r="G681" s="79" t="s">
        <v>50</v>
      </c>
      <c r="H681" s="80" t="s">
        <v>50</v>
      </c>
      <c r="I681" s="79" t="s">
        <v>51</v>
      </c>
      <c r="J681" s="79" t="s">
        <v>51</v>
      </c>
      <c r="K681" s="80" t="s">
        <v>51</v>
      </c>
      <c r="L681" s="79"/>
      <c r="M681" s="79"/>
      <c r="N681" s="80"/>
      <c r="O681" s="79"/>
      <c r="P681" s="79"/>
      <c r="Q681" s="80"/>
    </row>
    <row r="682" spans="1:17" ht="60" customHeight="1">
      <c r="A682" s="81">
        <v>98</v>
      </c>
      <c r="B682" s="82"/>
      <c r="C682" s="104" t="s">
        <v>354</v>
      </c>
      <c r="D682" s="104" t="s">
        <v>165</v>
      </c>
      <c r="E682" s="84" t="s">
        <v>331</v>
      </c>
      <c r="F682" s="85"/>
      <c r="G682" s="86" t="s">
        <v>379</v>
      </c>
      <c r="H682" s="87" t="s">
        <v>379</v>
      </c>
      <c r="I682" s="85"/>
      <c r="J682" s="86"/>
      <c r="K682" s="87"/>
      <c r="L682" s="86"/>
      <c r="M682" s="86"/>
      <c r="N682" s="87"/>
      <c r="O682" s="86"/>
      <c r="P682" s="86"/>
      <c r="Q682" s="87"/>
    </row>
    <row r="683" spans="1:17" ht="45" customHeight="1">
      <c r="A683" s="81">
        <v>98</v>
      </c>
      <c r="B683" s="82"/>
      <c r="C683" s="104" t="s">
        <v>354</v>
      </c>
      <c r="D683" s="104" t="s">
        <v>165</v>
      </c>
      <c r="E683" s="84" t="s">
        <v>331</v>
      </c>
      <c r="F683" s="85"/>
      <c r="G683" s="85"/>
      <c r="H683" s="88"/>
      <c r="I683" s="85"/>
      <c r="J683" s="85"/>
      <c r="K683" s="88"/>
      <c r="L683" s="86"/>
      <c r="M683" s="86"/>
      <c r="N683" s="87"/>
      <c r="O683" s="86"/>
      <c r="P683" s="86"/>
      <c r="Q683" s="87"/>
    </row>
    <row r="684" spans="1:17" ht="14.45" customHeight="1">
      <c r="A684" s="81">
        <v>98</v>
      </c>
      <c r="B684" s="82"/>
      <c r="C684" s="104" t="s">
        <v>354</v>
      </c>
      <c r="D684" s="104" t="s">
        <v>165</v>
      </c>
      <c r="E684" s="84" t="s">
        <v>331</v>
      </c>
      <c r="F684" s="89">
        <v>19</v>
      </c>
      <c r="G684" s="89">
        <v>24</v>
      </c>
      <c r="H684" s="90">
        <v>4</v>
      </c>
      <c r="I684" s="89">
        <v>26</v>
      </c>
      <c r="J684" s="89">
        <v>33</v>
      </c>
      <c r="K684" s="90">
        <v>5</v>
      </c>
      <c r="L684" s="86"/>
      <c r="M684" s="86"/>
      <c r="N684" s="87"/>
      <c r="O684" s="86"/>
      <c r="P684" s="86"/>
      <c r="Q684" s="87"/>
    </row>
    <row r="685" spans="1:17" ht="45" customHeight="1">
      <c r="A685" s="81">
        <v>98</v>
      </c>
      <c r="B685" s="82"/>
      <c r="C685" s="104" t="s">
        <v>354</v>
      </c>
      <c r="D685" s="104" t="s">
        <v>165</v>
      </c>
      <c r="E685" s="84" t="s">
        <v>331</v>
      </c>
      <c r="F685" s="85"/>
      <c r="G685" s="85"/>
      <c r="H685" s="88"/>
      <c r="I685" s="85"/>
      <c r="J685" s="85"/>
      <c r="K685" s="88"/>
      <c r="L685" s="86"/>
      <c r="M685" s="86"/>
      <c r="N685" s="87"/>
      <c r="O685" s="86"/>
      <c r="P685" s="86"/>
      <c r="Q685" s="87"/>
    </row>
    <row r="686" spans="1:17" ht="14.45" customHeight="1">
      <c r="A686" s="81">
        <v>98</v>
      </c>
      <c r="B686" s="82"/>
      <c r="C686" s="104" t="s">
        <v>354</v>
      </c>
      <c r="D686" s="104" t="s">
        <v>165</v>
      </c>
      <c r="E686" s="84" t="s">
        <v>331</v>
      </c>
      <c r="F686" s="89">
        <v>12</v>
      </c>
      <c r="G686" s="85"/>
      <c r="H686" s="88"/>
      <c r="I686" s="89">
        <v>16</v>
      </c>
      <c r="J686" s="85"/>
      <c r="K686" s="88"/>
      <c r="L686" s="86"/>
      <c r="M686" s="86"/>
      <c r="N686" s="87"/>
      <c r="O686" s="86"/>
      <c r="P686" s="86"/>
      <c r="Q686" s="87"/>
    </row>
    <row r="687" spans="1:17" ht="24" customHeight="1">
      <c r="A687" s="91">
        <v>98</v>
      </c>
      <c r="B687" s="92"/>
      <c r="C687" s="105" t="s">
        <v>354</v>
      </c>
      <c r="D687" s="105" t="s">
        <v>165</v>
      </c>
      <c r="E687" s="94" t="s">
        <v>331</v>
      </c>
      <c r="F687" s="95" t="s">
        <v>56</v>
      </c>
      <c r="G687" s="96">
        <v>6990</v>
      </c>
      <c r="H687" s="97">
        <v>6990</v>
      </c>
      <c r="I687" s="95" t="s">
        <v>56</v>
      </c>
      <c r="J687" s="96">
        <v>9380</v>
      </c>
      <c r="K687" s="97">
        <v>9380</v>
      </c>
      <c r="L687" s="98"/>
      <c r="M687" s="98"/>
      <c r="N687" s="99"/>
      <c r="O687" s="98"/>
      <c r="P687" s="98"/>
      <c r="Q687" s="99"/>
    </row>
    <row r="688" spans="1:17" ht="14.45" customHeight="1">
      <c r="A688" s="75">
        <v>99</v>
      </c>
      <c r="B688" s="76"/>
      <c r="C688" s="103" t="s">
        <v>355</v>
      </c>
      <c r="D688" s="103" t="s">
        <v>165</v>
      </c>
      <c r="E688" s="78" t="s">
        <v>286</v>
      </c>
      <c r="F688" s="79" t="s">
        <v>50</v>
      </c>
      <c r="G688" s="79" t="s">
        <v>50</v>
      </c>
      <c r="H688" s="80" t="s">
        <v>50</v>
      </c>
      <c r="I688" s="79" t="s">
        <v>51</v>
      </c>
      <c r="J688" s="79" t="s">
        <v>51</v>
      </c>
      <c r="K688" s="80" t="s">
        <v>51</v>
      </c>
      <c r="L688" s="79"/>
      <c r="M688" s="79"/>
      <c r="N688" s="80"/>
      <c r="O688" s="79"/>
      <c r="P688" s="79"/>
      <c r="Q688" s="80"/>
    </row>
    <row r="689" spans="1:17" ht="60" customHeight="1">
      <c r="A689" s="81">
        <v>99</v>
      </c>
      <c r="B689" s="82"/>
      <c r="C689" s="104" t="s">
        <v>355</v>
      </c>
      <c r="D689" s="104" t="s">
        <v>165</v>
      </c>
      <c r="E689" s="84" t="s">
        <v>286</v>
      </c>
      <c r="F689" s="85"/>
      <c r="G689" s="86" t="s">
        <v>380</v>
      </c>
      <c r="H689" s="87" t="s">
        <v>380</v>
      </c>
      <c r="I689" s="85"/>
      <c r="J689" s="86"/>
      <c r="K689" s="87"/>
      <c r="L689" s="86"/>
      <c r="M689" s="86"/>
      <c r="N689" s="87"/>
      <c r="O689" s="86"/>
      <c r="P689" s="86"/>
      <c r="Q689" s="87"/>
    </row>
    <row r="690" spans="1:17" ht="45" customHeight="1">
      <c r="A690" s="81">
        <v>99</v>
      </c>
      <c r="B690" s="82"/>
      <c r="C690" s="104" t="s">
        <v>355</v>
      </c>
      <c r="D690" s="104" t="s">
        <v>165</v>
      </c>
      <c r="E690" s="84" t="s">
        <v>286</v>
      </c>
      <c r="F690" s="85"/>
      <c r="G690" s="85"/>
      <c r="H690" s="88"/>
      <c r="I690" s="85"/>
      <c r="J690" s="85"/>
      <c r="K690" s="88"/>
      <c r="L690" s="86"/>
      <c r="M690" s="86"/>
      <c r="N690" s="87"/>
      <c r="O690" s="86"/>
      <c r="P690" s="86"/>
      <c r="Q690" s="87"/>
    </row>
    <row r="691" spans="1:17" ht="14.45" customHeight="1">
      <c r="A691" s="81">
        <v>99</v>
      </c>
      <c r="B691" s="82"/>
      <c r="C691" s="104" t="s">
        <v>355</v>
      </c>
      <c r="D691" s="104" t="s">
        <v>165</v>
      </c>
      <c r="E691" s="84" t="s">
        <v>286</v>
      </c>
      <c r="F691" s="89">
        <v>12</v>
      </c>
      <c r="G691" s="89">
        <v>24</v>
      </c>
      <c r="H691" s="90">
        <v>6</v>
      </c>
      <c r="I691" s="89">
        <v>17</v>
      </c>
      <c r="J691" s="89">
        <v>33</v>
      </c>
      <c r="K691" s="90">
        <v>8</v>
      </c>
      <c r="L691" s="86"/>
      <c r="M691" s="86"/>
      <c r="N691" s="87"/>
      <c r="O691" s="86"/>
      <c r="P691" s="86"/>
      <c r="Q691" s="87"/>
    </row>
    <row r="692" spans="1:17" ht="45" customHeight="1">
      <c r="A692" s="81">
        <v>99</v>
      </c>
      <c r="B692" s="82"/>
      <c r="C692" s="104" t="s">
        <v>355</v>
      </c>
      <c r="D692" s="104" t="s">
        <v>165</v>
      </c>
      <c r="E692" s="84" t="s">
        <v>286</v>
      </c>
      <c r="F692" s="85"/>
      <c r="G692" s="85"/>
      <c r="H692" s="88"/>
      <c r="I692" s="85"/>
      <c r="J692" s="85"/>
      <c r="K692" s="88"/>
      <c r="L692" s="86"/>
      <c r="M692" s="86"/>
      <c r="N692" s="87"/>
      <c r="O692" s="86"/>
      <c r="P692" s="86"/>
      <c r="Q692" s="87"/>
    </row>
    <row r="693" spans="1:17" ht="14.45" customHeight="1">
      <c r="A693" s="81">
        <v>99</v>
      </c>
      <c r="B693" s="82"/>
      <c r="C693" s="104" t="s">
        <v>355</v>
      </c>
      <c r="D693" s="104" t="s">
        <v>165</v>
      </c>
      <c r="E693" s="84" t="s">
        <v>286</v>
      </c>
      <c r="F693" s="89">
        <v>12</v>
      </c>
      <c r="G693" s="85"/>
      <c r="H693" s="88"/>
      <c r="I693" s="89">
        <v>16</v>
      </c>
      <c r="J693" s="85"/>
      <c r="K693" s="88"/>
      <c r="L693" s="86"/>
      <c r="M693" s="86"/>
      <c r="N693" s="87"/>
      <c r="O693" s="86"/>
      <c r="P693" s="86"/>
      <c r="Q693" s="87"/>
    </row>
    <row r="694" spans="1:17" ht="24" customHeight="1">
      <c r="A694" s="91">
        <v>99</v>
      </c>
      <c r="B694" s="92"/>
      <c r="C694" s="105" t="s">
        <v>355</v>
      </c>
      <c r="D694" s="105" t="s">
        <v>165</v>
      </c>
      <c r="E694" s="94" t="s">
        <v>286</v>
      </c>
      <c r="F694" s="95" t="s">
        <v>56</v>
      </c>
      <c r="G694" s="96">
        <v>7060</v>
      </c>
      <c r="H694" s="97">
        <v>7060</v>
      </c>
      <c r="I694" s="95" t="s">
        <v>56</v>
      </c>
      <c r="J694" s="96">
        <v>9620</v>
      </c>
      <c r="K694" s="97">
        <v>9620</v>
      </c>
      <c r="L694" s="98"/>
      <c r="M694" s="98"/>
      <c r="N694" s="99"/>
      <c r="O694" s="98"/>
      <c r="P694" s="98"/>
      <c r="Q694" s="99"/>
    </row>
    <row r="695" spans="1:17" ht="14.45" customHeight="1">
      <c r="A695" s="75">
        <v>100</v>
      </c>
      <c r="B695" s="76"/>
      <c r="C695" s="103" t="s">
        <v>337</v>
      </c>
      <c r="D695" s="103" t="s">
        <v>165</v>
      </c>
      <c r="E695" s="78" t="s">
        <v>272</v>
      </c>
      <c r="F695" s="79" t="s">
        <v>50</v>
      </c>
      <c r="G695" s="79" t="s">
        <v>50</v>
      </c>
      <c r="H695" s="80" t="s">
        <v>50</v>
      </c>
      <c r="I695" s="79"/>
      <c r="J695" s="79"/>
      <c r="K695" s="80"/>
      <c r="L695" s="79"/>
      <c r="M695" s="79"/>
      <c r="N695" s="80"/>
      <c r="O695" s="79"/>
      <c r="P695" s="79"/>
      <c r="Q695" s="80"/>
    </row>
    <row r="696" spans="1:17" ht="60" customHeight="1">
      <c r="A696" s="81">
        <v>100</v>
      </c>
      <c r="B696" s="82"/>
      <c r="C696" s="104" t="s">
        <v>337</v>
      </c>
      <c r="D696" s="104" t="s">
        <v>165</v>
      </c>
      <c r="E696" s="84" t="s">
        <v>272</v>
      </c>
      <c r="F696" s="85"/>
      <c r="G696" s="86" t="s">
        <v>327</v>
      </c>
      <c r="H696" s="87" t="s">
        <v>327</v>
      </c>
      <c r="I696" s="86"/>
      <c r="J696" s="86"/>
      <c r="K696" s="87"/>
      <c r="L696" s="86"/>
      <c r="M696" s="86"/>
      <c r="N696" s="87"/>
      <c r="O696" s="86"/>
      <c r="P696" s="86"/>
      <c r="Q696" s="87"/>
    </row>
    <row r="697" spans="1:17" ht="45" customHeight="1">
      <c r="A697" s="81">
        <v>100</v>
      </c>
      <c r="B697" s="82"/>
      <c r="C697" s="104" t="s">
        <v>337</v>
      </c>
      <c r="D697" s="104" t="s">
        <v>165</v>
      </c>
      <c r="E697" s="84" t="s">
        <v>272</v>
      </c>
      <c r="F697" s="85"/>
      <c r="G697" s="85"/>
      <c r="H697" s="88"/>
      <c r="I697" s="86"/>
      <c r="J697" s="86"/>
      <c r="K697" s="87"/>
      <c r="L697" s="86"/>
      <c r="M697" s="86"/>
      <c r="N697" s="87"/>
      <c r="O697" s="86"/>
      <c r="P697" s="86"/>
      <c r="Q697" s="87"/>
    </row>
    <row r="698" spans="1:17" ht="14.45" customHeight="1">
      <c r="A698" s="81">
        <v>100</v>
      </c>
      <c r="B698" s="82"/>
      <c r="C698" s="104" t="s">
        <v>337</v>
      </c>
      <c r="D698" s="104" t="s">
        <v>165</v>
      </c>
      <c r="E698" s="84" t="s">
        <v>272</v>
      </c>
      <c r="F698" s="89">
        <v>10</v>
      </c>
      <c r="G698" s="89">
        <v>38</v>
      </c>
      <c r="H698" s="90">
        <v>3</v>
      </c>
      <c r="I698" s="86"/>
      <c r="J698" s="86"/>
      <c r="K698" s="87"/>
      <c r="L698" s="86"/>
      <c r="M698" s="86"/>
      <c r="N698" s="87"/>
      <c r="O698" s="86"/>
      <c r="P698" s="86"/>
      <c r="Q698" s="87"/>
    </row>
    <row r="699" spans="1:17" ht="45" customHeight="1">
      <c r="A699" s="81">
        <v>100</v>
      </c>
      <c r="B699" s="82"/>
      <c r="C699" s="104" t="s">
        <v>337</v>
      </c>
      <c r="D699" s="104" t="s">
        <v>165</v>
      </c>
      <c r="E699" s="84" t="s">
        <v>272</v>
      </c>
      <c r="F699" s="85"/>
      <c r="G699" s="85"/>
      <c r="H699" s="88"/>
      <c r="I699" s="86"/>
      <c r="J699" s="86"/>
      <c r="K699" s="87"/>
      <c r="L699" s="86"/>
      <c r="M699" s="86"/>
      <c r="N699" s="87"/>
      <c r="O699" s="86"/>
      <c r="P699" s="86"/>
      <c r="Q699" s="87"/>
    </row>
    <row r="700" spans="1:17" ht="14.45" customHeight="1">
      <c r="A700" s="81">
        <v>100</v>
      </c>
      <c r="B700" s="82"/>
      <c r="C700" s="104" t="s">
        <v>337</v>
      </c>
      <c r="D700" s="104" t="s">
        <v>165</v>
      </c>
      <c r="E700" s="84" t="s">
        <v>272</v>
      </c>
      <c r="F700" s="89">
        <v>9</v>
      </c>
      <c r="G700" s="85"/>
      <c r="H700" s="88"/>
      <c r="I700" s="86"/>
      <c r="J700" s="86"/>
      <c r="K700" s="87"/>
      <c r="L700" s="86"/>
      <c r="M700" s="86"/>
      <c r="N700" s="87"/>
      <c r="O700" s="86"/>
      <c r="P700" s="86"/>
      <c r="Q700" s="87"/>
    </row>
    <row r="701" spans="1:17" ht="24" customHeight="1">
      <c r="A701" s="91">
        <v>100</v>
      </c>
      <c r="B701" s="92"/>
      <c r="C701" s="105" t="s">
        <v>337</v>
      </c>
      <c r="D701" s="105" t="s">
        <v>165</v>
      </c>
      <c r="E701" s="94" t="s">
        <v>272</v>
      </c>
      <c r="F701" s="95" t="s">
        <v>56</v>
      </c>
      <c r="G701" s="96">
        <v>6280</v>
      </c>
      <c r="H701" s="97">
        <v>6280</v>
      </c>
      <c r="I701" s="98"/>
      <c r="J701" s="98"/>
      <c r="K701" s="99"/>
      <c r="L701" s="98"/>
      <c r="M701" s="98"/>
      <c r="N701" s="99"/>
      <c r="O701" s="98"/>
      <c r="P701" s="98"/>
      <c r="Q701" s="99"/>
    </row>
    <row r="702" spans="1:17" ht="14.45" customHeight="1">
      <c r="A702" s="75">
        <v>101</v>
      </c>
      <c r="B702" s="76"/>
      <c r="C702" s="103" t="s">
        <v>338</v>
      </c>
      <c r="D702" s="103" t="s">
        <v>165</v>
      </c>
      <c r="E702" s="78" t="s">
        <v>272</v>
      </c>
      <c r="F702" s="79" t="s">
        <v>50</v>
      </c>
      <c r="G702" s="79" t="s">
        <v>50</v>
      </c>
      <c r="H702" s="80" t="s">
        <v>50</v>
      </c>
      <c r="I702" s="79"/>
      <c r="J702" s="79"/>
      <c r="K702" s="80"/>
      <c r="L702" s="79"/>
      <c r="M702" s="79"/>
      <c r="N702" s="80"/>
      <c r="O702" s="79"/>
      <c r="P702" s="79"/>
      <c r="Q702" s="80"/>
    </row>
    <row r="703" spans="1:17" ht="60" customHeight="1">
      <c r="A703" s="81">
        <v>101</v>
      </c>
      <c r="B703" s="82"/>
      <c r="C703" s="104" t="s">
        <v>338</v>
      </c>
      <c r="D703" s="104" t="s">
        <v>165</v>
      </c>
      <c r="E703" s="84" t="s">
        <v>272</v>
      </c>
      <c r="F703" s="85"/>
      <c r="G703" s="86" t="s">
        <v>290</v>
      </c>
      <c r="H703" s="87" t="s">
        <v>290</v>
      </c>
      <c r="I703" s="86"/>
      <c r="J703" s="86"/>
      <c r="K703" s="87"/>
      <c r="L703" s="86"/>
      <c r="M703" s="86"/>
      <c r="N703" s="87"/>
      <c r="O703" s="86"/>
      <c r="P703" s="86"/>
      <c r="Q703" s="87"/>
    </row>
    <row r="704" spans="1:17" ht="45" customHeight="1">
      <c r="A704" s="81">
        <v>101</v>
      </c>
      <c r="B704" s="82"/>
      <c r="C704" s="104" t="s">
        <v>338</v>
      </c>
      <c r="D704" s="104" t="s">
        <v>165</v>
      </c>
      <c r="E704" s="84" t="s">
        <v>272</v>
      </c>
      <c r="F704" s="85"/>
      <c r="G704" s="85"/>
      <c r="H704" s="88"/>
      <c r="I704" s="86"/>
      <c r="J704" s="86"/>
      <c r="K704" s="87"/>
      <c r="L704" s="86"/>
      <c r="M704" s="86"/>
      <c r="N704" s="87"/>
      <c r="O704" s="86"/>
      <c r="P704" s="86"/>
      <c r="Q704" s="87"/>
    </row>
    <row r="705" spans="1:17" ht="14.45" customHeight="1">
      <c r="A705" s="81">
        <v>101</v>
      </c>
      <c r="B705" s="82"/>
      <c r="C705" s="104" t="s">
        <v>338</v>
      </c>
      <c r="D705" s="104" t="s">
        <v>165</v>
      </c>
      <c r="E705" s="84" t="s">
        <v>272</v>
      </c>
      <c r="F705" s="89">
        <v>10</v>
      </c>
      <c r="G705" s="89">
        <v>38</v>
      </c>
      <c r="H705" s="90">
        <v>3</v>
      </c>
      <c r="I705" s="86"/>
      <c r="J705" s="86"/>
      <c r="K705" s="87"/>
      <c r="L705" s="86"/>
      <c r="M705" s="86"/>
      <c r="N705" s="87"/>
      <c r="O705" s="86"/>
      <c r="P705" s="86"/>
      <c r="Q705" s="87"/>
    </row>
    <row r="706" spans="1:17" ht="45" customHeight="1">
      <c r="A706" s="81">
        <v>101</v>
      </c>
      <c r="B706" s="82"/>
      <c r="C706" s="104" t="s">
        <v>338</v>
      </c>
      <c r="D706" s="104" t="s">
        <v>165</v>
      </c>
      <c r="E706" s="84" t="s">
        <v>272</v>
      </c>
      <c r="F706" s="85"/>
      <c r="G706" s="85"/>
      <c r="H706" s="88"/>
      <c r="I706" s="86"/>
      <c r="J706" s="86"/>
      <c r="K706" s="87"/>
      <c r="L706" s="86"/>
      <c r="M706" s="86"/>
      <c r="N706" s="87"/>
      <c r="O706" s="86"/>
      <c r="P706" s="86"/>
      <c r="Q706" s="87"/>
    </row>
    <row r="707" spans="1:17" ht="14.45" customHeight="1">
      <c r="A707" s="81">
        <v>101</v>
      </c>
      <c r="B707" s="82"/>
      <c r="C707" s="104" t="s">
        <v>338</v>
      </c>
      <c r="D707" s="104" t="s">
        <v>165</v>
      </c>
      <c r="E707" s="84" t="s">
        <v>272</v>
      </c>
      <c r="F707" s="89">
        <v>9</v>
      </c>
      <c r="G707" s="85"/>
      <c r="H707" s="88"/>
      <c r="I707" s="86"/>
      <c r="J707" s="86"/>
      <c r="K707" s="87"/>
      <c r="L707" s="86"/>
      <c r="M707" s="86"/>
      <c r="N707" s="87"/>
      <c r="O707" s="86"/>
      <c r="P707" s="86"/>
      <c r="Q707" s="87"/>
    </row>
    <row r="708" spans="1:17" ht="24" customHeight="1">
      <c r="A708" s="91">
        <v>101</v>
      </c>
      <c r="B708" s="92"/>
      <c r="C708" s="105" t="s">
        <v>338</v>
      </c>
      <c r="D708" s="105" t="s">
        <v>165</v>
      </c>
      <c r="E708" s="94" t="s">
        <v>272</v>
      </c>
      <c r="F708" s="95" t="s">
        <v>56</v>
      </c>
      <c r="G708" s="96">
        <v>6280</v>
      </c>
      <c r="H708" s="97">
        <v>6280</v>
      </c>
      <c r="I708" s="98"/>
      <c r="J708" s="98"/>
      <c r="K708" s="99"/>
      <c r="L708" s="98"/>
      <c r="M708" s="98"/>
      <c r="N708" s="99"/>
      <c r="O708" s="98"/>
      <c r="P708" s="98"/>
      <c r="Q708" s="99"/>
    </row>
    <row r="709" spans="1:17" ht="14.45" customHeight="1">
      <c r="A709" s="75">
        <v>102</v>
      </c>
      <c r="B709" s="76"/>
      <c r="C709" s="103" t="s">
        <v>339</v>
      </c>
      <c r="D709" s="103" t="s">
        <v>165</v>
      </c>
      <c r="E709" s="78" t="s">
        <v>272</v>
      </c>
      <c r="F709" s="79" t="s">
        <v>50</v>
      </c>
      <c r="G709" s="79" t="s">
        <v>50</v>
      </c>
      <c r="H709" s="80" t="s">
        <v>50</v>
      </c>
      <c r="I709" s="79"/>
      <c r="J709" s="79"/>
      <c r="K709" s="80"/>
      <c r="L709" s="79"/>
      <c r="M709" s="79"/>
      <c r="N709" s="80"/>
      <c r="O709" s="79"/>
      <c r="P709" s="79"/>
      <c r="Q709" s="80"/>
    </row>
    <row r="710" spans="1:17" ht="60" customHeight="1">
      <c r="A710" s="81">
        <v>102</v>
      </c>
      <c r="B710" s="82"/>
      <c r="C710" s="104" t="s">
        <v>339</v>
      </c>
      <c r="D710" s="104" t="s">
        <v>165</v>
      </c>
      <c r="E710" s="84" t="s">
        <v>272</v>
      </c>
      <c r="F710" s="85"/>
      <c r="G710" s="86" t="s">
        <v>327</v>
      </c>
      <c r="H710" s="87" t="s">
        <v>327</v>
      </c>
      <c r="I710" s="86"/>
      <c r="J710" s="86"/>
      <c r="K710" s="87"/>
      <c r="L710" s="86"/>
      <c r="M710" s="86"/>
      <c r="N710" s="87"/>
      <c r="O710" s="86"/>
      <c r="P710" s="86"/>
      <c r="Q710" s="87"/>
    </row>
    <row r="711" spans="1:17" ht="45" customHeight="1">
      <c r="A711" s="81">
        <v>102</v>
      </c>
      <c r="B711" s="82"/>
      <c r="C711" s="104" t="s">
        <v>339</v>
      </c>
      <c r="D711" s="104" t="s">
        <v>165</v>
      </c>
      <c r="E711" s="84" t="s">
        <v>272</v>
      </c>
      <c r="F711" s="85"/>
      <c r="G711" s="85"/>
      <c r="H711" s="88"/>
      <c r="I711" s="86"/>
      <c r="J711" s="86"/>
      <c r="K711" s="87"/>
      <c r="L711" s="86"/>
      <c r="M711" s="86"/>
      <c r="N711" s="87"/>
      <c r="O711" s="86"/>
      <c r="P711" s="86"/>
      <c r="Q711" s="87"/>
    </row>
    <row r="712" spans="1:17" ht="14.45" customHeight="1">
      <c r="A712" s="81">
        <v>102</v>
      </c>
      <c r="B712" s="82"/>
      <c r="C712" s="104" t="s">
        <v>339</v>
      </c>
      <c r="D712" s="104" t="s">
        <v>165</v>
      </c>
      <c r="E712" s="84" t="s">
        <v>272</v>
      </c>
      <c r="F712" s="89">
        <v>10</v>
      </c>
      <c r="G712" s="89">
        <v>38</v>
      </c>
      <c r="H712" s="90">
        <v>3</v>
      </c>
      <c r="I712" s="86"/>
      <c r="J712" s="86"/>
      <c r="K712" s="87"/>
      <c r="L712" s="86"/>
      <c r="M712" s="86"/>
      <c r="N712" s="87"/>
      <c r="O712" s="86"/>
      <c r="P712" s="86"/>
      <c r="Q712" s="87"/>
    </row>
    <row r="713" spans="1:17" ht="45" customHeight="1">
      <c r="A713" s="81">
        <v>102</v>
      </c>
      <c r="B713" s="82"/>
      <c r="C713" s="104" t="s">
        <v>339</v>
      </c>
      <c r="D713" s="104" t="s">
        <v>165</v>
      </c>
      <c r="E713" s="84" t="s">
        <v>272</v>
      </c>
      <c r="F713" s="85"/>
      <c r="G713" s="85"/>
      <c r="H713" s="88"/>
      <c r="I713" s="86"/>
      <c r="J713" s="86"/>
      <c r="K713" s="87"/>
      <c r="L713" s="86"/>
      <c r="M713" s="86"/>
      <c r="N713" s="87"/>
      <c r="O713" s="86"/>
      <c r="P713" s="86"/>
      <c r="Q713" s="87"/>
    </row>
    <row r="714" spans="1:17" ht="14.45" customHeight="1">
      <c r="A714" s="81">
        <v>102</v>
      </c>
      <c r="B714" s="82"/>
      <c r="C714" s="104" t="s">
        <v>339</v>
      </c>
      <c r="D714" s="104" t="s">
        <v>165</v>
      </c>
      <c r="E714" s="84" t="s">
        <v>272</v>
      </c>
      <c r="F714" s="89">
        <v>9</v>
      </c>
      <c r="G714" s="85"/>
      <c r="H714" s="88"/>
      <c r="I714" s="86"/>
      <c r="J714" s="86"/>
      <c r="K714" s="87"/>
      <c r="L714" s="86"/>
      <c r="M714" s="86"/>
      <c r="N714" s="87"/>
      <c r="O714" s="86"/>
      <c r="P714" s="86"/>
      <c r="Q714" s="87"/>
    </row>
    <row r="715" spans="1:17" ht="24" customHeight="1">
      <c r="A715" s="91">
        <v>102</v>
      </c>
      <c r="B715" s="92"/>
      <c r="C715" s="105" t="s">
        <v>339</v>
      </c>
      <c r="D715" s="105" t="s">
        <v>165</v>
      </c>
      <c r="E715" s="94" t="s">
        <v>272</v>
      </c>
      <c r="F715" s="95" t="s">
        <v>56</v>
      </c>
      <c r="G715" s="96">
        <v>6280</v>
      </c>
      <c r="H715" s="97">
        <v>6280</v>
      </c>
      <c r="I715" s="98"/>
      <c r="J715" s="98"/>
      <c r="K715" s="99"/>
      <c r="L715" s="98"/>
      <c r="M715" s="98"/>
      <c r="N715" s="99"/>
      <c r="O715" s="98"/>
      <c r="P715" s="98"/>
      <c r="Q715" s="99"/>
    </row>
    <row r="716" spans="1:17" ht="14.45" customHeight="1">
      <c r="A716" s="75">
        <v>103</v>
      </c>
      <c r="B716" s="76"/>
      <c r="C716" s="103" t="s">
        <v>381</v>
      </c>
      <c r="D716" s="103" t="s">
        <v>165</v>
      </c>
      <c r="E716" s="78" t="s">
        <v>272</v>
      </c>
      <c r="F716" s="79" t="s">
        <v>50</v>
      </c>
      <c r="G716" s="79" t="s">
        <v>50</v>
      </c>
      <c r="H716" s="80" t="s">
        <v>50</v>
      </c>
      <c r="I716" s="79"/>
      <c r="J716" s="79"/>
      <c r="K716" s="80"/>
      <c r="L716" s="79"/>
      <c r="M716" s="79"/>
      <c r="N716" s="80"/>
      <c r="O716" s="79"/>
      <c r="P716" s="79"/>
      <c r="Q716" s="80"/>
    </row>
    <row r="717" spans="1:17" ht="60" customHeight="1">
      <c r="A717" s="81">
        <v>103</v>
      </c>
      <c r="B717" s="82"/>
      <c r="C717" s="104" t="s">
        <v>381</v>
      </c>
      <c r="D717" s="104" t="s">
        <v>165</v>
      </c>
      <c r="E717" s="84" t="s">
        <v>272</v>
      </c>
      <c r="F717" s="85"/>
      <c r="G717" s="86" t="s">
        <v>382</v>
      </c>
      <c r="H717" s="87" t="s">
        <v>382</v>
      </c>
      <c r="I717" s="86"/>
      <c r="J717" s="86"/>
      <c r="K717" s="87"/>
      <c r="L717" s="86"/>
      <c r="M717" s="86"/>
      <c r="N717" s="87"/>
      <c r="O717" s="86"/>
      <c r="P717" s="86"/>
      <c r="Q717" s="87"/>
    </row>
    <row r="718" spans="1:17" ht="45" customHeight="1">
      <c r="A718" s="81">
        <v>103</v>
      </c>
      <c r="B718" s="82"/>
      <c r="C718" s="104" t="s">
        <v>381</v>
      </c>
      <c r="D718" s="104" t="s">
        <v>165</v>
      </c>
      <c r="E718" s="84" t="s">
        <v>272</v>
      </c>
      <c r="F718" s="85"/>
      <c r="G718" s="85"/>
      <c r="H718" s="88"/>
      <c r="I718" s="86"/>
      <c r="J718" s="86"/>
      <c r="K718" s="87"/>
      <c r="L718" s="86"/>
      <c r="M718" s="86"/>
      <c r="N718" s="87"/>
      <c r="O718" s="86"/>
      <c r="P718" s="86"/>
      <c r="Q718" s="87"/>
    </row>
    <row r="719" spans="1:17" ht="14.45" customHeight="1">
      <c r="A719" s="81">
        <v>103</v>
      </c>
      <c r="B719" s="82"/>
      <c r="C719" s="104" t="s">
        <v>381</v>
      </c>
      <c r="D719" s="104" t="s">
        <v>165</v>
      </c>
      <c r="E719" s="84" t="s">
        <v>272</v>
      </c>
      <c r="F719" s="89">
        <v>10</v>
      </c>
      <c r="G719" s="89">
        <v>38</v>
      </c>
      <c r="H719" s="90">
        <v>3</v>
      </c>
      <c r="I719" s="86"/>
      <c r="J719" s="86"/>
      <c r="K719" s="87"/>
      <c r="L719" s="86"/>
      <c r="M719" s="86"/>
      <c r="N719" s="87"/>
      <c r="O719" s="86"/>
      <c r="P719" s="86"/>
      <c r="Q719" s="87"/>
    </row>
    <row r="720" spans="1:17" ht="45" customHeight="1">
      <c r="A720" s="81">
        <v>103</v>
      </c>
      <c r="B720" s="82"/>
      <c r="C720" s="104" t="s">
        <v>381</v>
      </c>
      <c r="D720" s="104" t="s">
        <v>165</v>
      </c>
      <c r="E720" s="84" t="s">
        <v>272</v>
      </c>
      <c r="F720" s="85"/>
      <c r="G720" s="85"/>
      <c r="H720" s="88"/>
      <c r="I720" s="86"/>
      <c r="J720" s="86"/>
      <c r="K720" s="87"/>
      <c r="L720" s="86"/>
      <c r="M720" s="86"/>
      <c r="N720" s="87"/>
      <c r="O720" s="86"/>
      <c r="P720" s="86"/>
      <c r="Q720" s="87"/>
    </row>
    <row r="721" spans="1:17" ht="14.45" customHeight="1">
      <c r="A721" s="81">
        <v>103</v>
      </c>
      <c r="B721" s="82"/>
      <c r="C721" s="104" t="s">
        <v>381</v>
      </c>
      <c r="D721" s="104" t="s">
        <v>165</v>
      </c>
      <c r="E721" s="84" t="s">
        <v>272</v>
      </c>
      <c r="F721" s="89">
        <v>9</v>
      </c>
      <c r="G721" s="85"/>
      <c r="H721" s="88"/>
      <c r="I721" s="86"/>
      <c r="J721" s="86"/>
      <c r="K721" s="87"/>
      <c r="L721" s="86"/>
      <c r="M721" s="86"/>
      <c r="N721" s="87"/>
      <c r="O721" s="86"/>
      <c r="P721" s="86"/>
      <c r="Q721" s="87"/>
    </row>
    <row r="722" spans="1:17" ht="24" customHeight="1">
      <c r="A722" s="91">
        <v>103</v>
      </c>
      <c r="B722" s="92"/>
      <c r="C722" s="105" t="s">
        <v>381</v>
      </c>
      <c r="D722" s="105" t="s">
        <v>165</v>
      </c>
      <c r="E722" s="94" t="s">
        <v>272</v>
      </c>
      <c r="F722" s="95" t="s">
        <v>56</v>
      </c>
      <c r="G722" s="96">
        <v>6280</v>
      </c>
      <c r="H722" s="97">
        <v>6280</v>
      </c>
      <c r="I722" s="98"/>
      <c r="J722" s="98"/>
      <c r="K722" s="99"/>
      <c r="L722" s="98"/>
      <c r="M722" s="98"/>
      <c r="N722" s="99"/>
      <c r="O722" s="98"/>
      <c r="P722" s="98"/>
      <c r="Q722" s="99"/>
    </row>
    <row r="723" spans="1:17" ht="14.45" customHeight="1">
      <c r="A723" s="75">
        <v>104</v>
      </c>
      <c r="B723" s="76"/>
      <c r="C723" s="103" t="s">
        <v>290</v>
      </c>
      <c r="D723" s="103" t="s">
        <v>165</v>
      </c>
      <c r="E723" s="78" t="s">
        <v>272</v>
      </c>
      <c r="F723" s="79" t="s">
        <v>50</v>
      </c>
      <c r="G723" s="79" t="s">
        <v>50</v>
      </c>
      <c r="H723" s="80" t="s">
        <v>50</v>
      </c>
      <c r="I723" s="79" t="s">
        <v>51</v>
      </c>
      <c r="J723" s="79" t="s">
        <v>51</v>
      </c>
      <c r="K723" s="80" t="s">
        <v>51</v>
      </c>
      <c r="L723" s="79"/>
      <c r="M723" s="79"/>
      <c r="N723" s="80"/>
      <c r="O723" s="79"/>
      <c r="P723" s="79"/>
      <c r="Q723" s="80"/>
    </row>
    <row r="724" spans="1:17" ht="60" customHeight="1">
      <c r="A724" s="81">
        <v>104</v>
      </c>
      <c r="B724" s="82"/>
      <c r="C724" s="104" t="s">
        <v>290</v>
      </c>
      <c r="D724" s="104" t="s">
        <v>165</v>
      </c>
      <c r="E724" s="84" t="s">
        <v>272</v>
      </c>
      <c r="F724" s="85"/>
      <c r="G724" s="86" t="s">
        <v>290</v>
      </c>
      <c r="H724" s="87" t="s">
        <v>290</v>
      </c>
      <c r="I724" s="85"/>
      <c r="J724" s="86"/>
      <c r="K724" s="87"/>
      <c r="L724" s="86"/>
      <c r="M724" s="86"/>
      <c r="N724" s="87"/>
      <c r="O724" s="86"/>
      <c r="P724" s="86"/>
      <c r="Q724" s="87"/>
    </row>
    <row r="725" spans="1:17" ht="45" customHeight="1">
      <c r="A725" s="81">
        <v>104</v>
      </c>
      <c r="B725" s="82"/>
      <c r="C725" s="104" t="s">
        <v>290</v>
      </c>
      <c r="D725" s="104" t="s">
        <v>165</v>
      </c>
      <c r="E725" s="84" t="s">
        <v>272</v>
      </c>
      <c r="F725" s="85"/>
      <c r="G725" s="85"/>
      <c r="H725" s="88"/>
      <c r="I725" s="85"/>
      <c r="J725" s="85"/>
      <c r="K725" s="88"/>
      <c r="L725" s="86"/>
      <c r="M725" s="86"/>
      <c r="N725" s="87"/>
      <c r="O725" s="86"/>
      <c r="P725" s="86"/>
      <c r="Q725" s="87"/>
    </row>
    <row r="726" spans="1:17" ht="14.45" customHeight="1">
      <c r="A726" s="81">
        <v>104</v>
      </c>
      <c r="B726" s="82"/>
      <c r="C726" s="104" t="s">
        <v>290</v>
      </c>
      <c r="D726" s="104" t="s">
        <v>165</v>
      </c>
      <c r="E726" s="84" t="s">
        <v>272</v>
      </c>
      <c r="F726" s="89">
        <v>10</v>
      </c>
      <c r="G726" s="89">
        <v>40</v>
      </c>
      <c r="H726" s="90">
        <v>10</v>
      </c>
      <c r="I726" s="89">
        <v>14</v>
      </c>
      <c r="J726" s="89">
        <v>56</v>
      </c>
      <c r="K726" s="90">
        <v>14</v>
      </c>
      <c r="L726" s="86"/>
      <c r="M726" s="86"/>
      <c r="N726" s="87"/>
      <c r="O726" s="86"/>
      <c r="P726" s="86"/>
      <c r="Q726" s="87"/>
    </row>
    <row r="727" spans="1:17" ht="45" customHeight="1">
      <c r="A727" s="81">
        <v>104</v>
      </c>
      <c r="B727" s="82"/>
      <c r="C727" s="104" t="s">
        <v>290</v>
      </c>
      <c r="D727" s="104" t="s">
        <v>165</v>
      </c>
      <c r="E727" s="84" t="s">
        <v>272</v>
      </c>
      <c r="F727" s="85"/>
      <c r="G727" s="85"/>
      <c r="H727" s="88"/>
      <c r="I727" s="85"/>
      <c r="J727" s="85"/>
      <c r="K727" s="88"/>
      <c r="L727" s="86"/>
      <c r="M727" s="86"/>
      <c r="N727" s="87"/>
      <c r="O727" s="86"/>
      <c r="P727" s="86"/>
      <c r="Q727" s="87"/>
    </row>
    <row r="728" spans="1:17" ht="14.45" customHeight="1">
      <c r="A728" s="81">
        <v>104</v>
      </c>
      <c r="B728" s="82"/>
      <c r="C728" s="104" t="s">
        <v>290</v>
      </c>
      <c r="D728" s="104" t="s">
        <v>165</v>
      </c>
      <c r="E728" s="84" t="s">
        <v>272</v>
      </c>
      <c r="F728" s="85"/>
      <c r="G728" s="85"/>
      <c r="H728" s="88"/>
      <c r="I728" s="85"/>
      <c r="J728" s="85"/>
      <c r="K728" s="88"/>
      <c r="L728" s="86"/>
      <c r="M728" s="86"/>
      <c r="N728" s="87"/>
      <c r="O728" s="86"/>
      <c r="P728" s="86"/>
      <c r="Q728" s="87"/>
    </row>
    <row r="729" spans="1:17" ht="24" customHeight="1">
      <c r="A729" s="91">
        <v>104</v>
      </c>
      <c r="B729" s="92"/>
      <c r="C729" s="105" t="s">
        <v>290</v>
      </c>
      <c r="D729" s="105" t="s">
        <v>165</v>
      </c>
      <c r="E729" s="94" t="s">
        <v>272</v>
      </c>
      <c r="F729" s="95" t="s">
        <v>56</v>
      </c>
      <c r="G729" s="96">
        <v>7360</v>
      </c>
      <c r="H729" s="97">
        <v>7360</v>
      </c>
      <c r="I729" s="95" t="s">
        <v>56</v>
      </c>
      <c r="J729" s="96">
        <v>10300</v>
      </c>
      <c r="K729" s="97">
        <v>10300</v>
      </c>
      <c r="L729" s="98"/>
      <c r="M729" s="98"/>
      <c r="N729" s="99"/>
      <c r="O729" s="98"/>
      <c r="P729" s="98"/>
      <c r="Q729" s="99"/>
    </row>
    <row r="730" spans="1:17" ht="14.45" customHeight="1">
      <c r="A730" s="75">
        <v>105</v>
      </c>
      <c r="B730" s="76"/>
      <c r="C730" s="103" t="s">
        <v>382</v>
      </c>
      <c r="D730" s="103" t="s">
        <v>165</v>
      </c>
      <c r="E730" s="78" t="s">
        <v>272</v>
      </c>
      <c r="F730" s="79" t="s">
        <v>50</v>
      </c>
      <c r="G730" s="79" t="s">
        <v>50</v>
      </c>
      <c r="H730" s="80" t="s">
        <v>50</v>
      </c>
      <c r="I730" s="79" t="s">
        <v>51</v>
      </c>
      <c r="J730" s="79" t="s">
        <v>51</v>
      </c>
      <c r="K730" s="80" t="s">
        <v>51</v>
      </c>
      <c r="L730" s="79" t="s">
        <v>52</v>
      </c>
      <c r="M730" s="79" t="s">
        <v>52</v>
      </c>
      <c r="N730" s="80" t="s">
        <v>52</v>
      </c>
      <c r="O730" s="79"/>
      <c r="P730" s="79"/>
      <c r="Q730" s="80"/>
    </row>
    <row r="731" spans="1:17" ht="60" customHeight="1">
      <c r="A731" s="81">
        <v>105</v>
      </c>
      <c r="B731" s="82"/>
      <c r="C731" s="104" t="s">
        <v>382</v>
      </c>
      <c r="D731" s="104" t="s">
        <v>165</v>
      </c>
      <c r="E731" s="84" t="s">
        <v>272</v>
      </c>
      <c r="F731" s="85"/>
      <c r="G731" s="86" t="s">
        <v>383</v>
      </c>
      <c r="H731" s="87" t="s">
        <v>383</v>
      </c>
      <c r="I731" s="85"/>
      <c r="J731" s="86" t="s">
        <v>384</v>
      </c>
      <c r="K731" s="87" t="s">
        <v>384</v>
      </c>
      <c r="L731" s="85"/>
      <c r="M731" s="86"/>
      <c r="N731" s="87"/>
      <c r="O731" s="86"/>
      <c r="P731" s="86"/>
      <c r="Q731" s="87"/>
    </row>
    <row r="732" spans="1:17" ht="45" customHeight="1">
      <c r="A732" s="81">
        <v>105</v>
      </c>
      <c r="B732" s="82"/>
      <c r="C732" s="104" t="s">
        <v>382</v>
      </c>
      <c r="D732" s="104" t="s">
        <v>165</v>
      </c>
      <c r="E732" s="84" t="s">
        <v>272</v>
      </c>
      <c r="F732" s="85"/>
      <c r="G732" s="85"/>
      <c r="H732" s="88"/>
      <c r="I732" s="85"/>
      <c r="J732" s="85"/>
      <c r="K732" s="88"/>
      <c r="L732" s="85"/>
      <c r="M732" s="85"/>
      <c r="N732" s="88"/>
      <c r="O732" s="86"/>
      <c r="P732" s="86"/>
      <c r="Q732" s="87"/>
    </row>
    <row r="733" spans="1:17" ht="14.45" customHeight="1">
      <c r="A733" s="81">
        <v>105</v>
      </c>
      <c r="B733" s="82"/>
      <c r="C733" s="104" t="s">
        <v>382</v>
      </c>
      <c r="D733" s="104" t="s">
        <v>165</v>
      </c>
      <c r="E733" s="84" t="s">
        <v>272</v>
      </c>
      <c r="F733" s="89">
        <v>10</v>
      </c>
      <c r="G733" s="89">
        <v>40</v>
      </c>
      <c r="H733" s="90">
        <v>10</v>
      </c>
      <c r="I733" s="89">
        <v>10</v>
      </c>
      <c r="J733" s="89">
        <v>40</v>
      </c>
      <c r="K733" s="90">
        <v>10</v>
      </c>
      <c r="L733" s="89">
        <v>14</v>
      </c>
      <c r="M733" s="89">
        <v>56</v>
      </c>
      <c r="N733" s="90">
        <v>14</v>
      </c>
      <c r="O733" s="86"/>
      <c r="P733" s="86"/>
      <c r="Q733" s="87"/>
    </row>
    <row r="734" spans="1:17" ht="45" customHeight="1">
      <c r="A734" s="81">
        <v>105</v>
      </c>
      <c r="B734" s="82"/>
      <c r="C734" s="104" t="s">
        <v>382</v>
      </c>
      <c r="D734" s="104" t="s">
        <v>165</v>
      </c>
      <c r="E734" s="84" t="s">
        <v>272</v>
      </c>
      <c r="F734" s="85"/>
      <c r="G734" s="85"/>
      <c r="H734" s="88"/>
      <c r="I734" s="85"/>
      <c r="J734" s="85"/>
      <c r="K734" s="88"/>
      <c r="L734" s="85"/>
      <c r="M734" s="85"/>
      <c r="N734" s="88"/>
      <c r="O734" s="86"/>
      <c r="P734" s="86"/>
      <c r="Q734" s="87"/>
    </row>
    <row r="735" spans="1:17" ht="14.45" customHeight="1">
      <c r="A735" s="81">
        <v>105</v>
      </c>
      <c r="B735" s="82"/>
      <c r="C735" s="104" t="s">
        <v>382</v>
      </c>
      <c r="D735" s="104" t="s">
        <v>165</v>
      </c>
      <c r="E735" s="84" t="s">
        <v>272</v>
      </c>
      <c r="F735" s="85"/>
      <c r="G735" s="85"/>
      <c r="H735" s="88"/>
      <c r="I735" s="85"/>
      <c r="J735" s="85"/>
      <c r="K735" s="88"/>
      <c r="L735" s="85"/>
      <c r="M735" s="85"/>
      <c r="N735" s="88"/>
      <c r="O735" s="86"/>
      <c r="P735" s="86"/>
      <c r="Q735" s="87"/>
    </row>
    <row r="736" spans="1:17" ht="24" customHeight="1">
      <c r="A736" s="91">
        <v>105</v>
      </c>
      <c r="B736" s="92"/>
      <c r="C736" s="105" t="s">
        <v>382</v>
      </c>
      <c r="D736" s="105" t="s">
        <v>165</v>
      </c>
      <c r="E736" s="94" t="s">
        <v>272</v>
      </c>
      <c r="F736" s="95" t="s">
        <v>56</v>
      </c>
      <c r="G736" s="96">
        <v>7360</v>
      </c>
      <c r="H736" s="97">
        <v>7360</v>
      </c>
      <c r="I736" s="95" t="s">
        <v>56</v>
      </c>
      <c r="J736" s="96">
        <v>7360</v>
      </c>
      <c r="K736" s="97">
        <v>7360</v>
      </c>
      <c r="L736" s="95" t="s">
        <v>56</v>
      </c>
      <c r="M736" s="96">
        <v>10300</v>
      </c>
      <c r="N736" s="97">
        <v>10300</v>
      </c>
      <c r="O736" s="98"/>
      <c r="P736" s="98"/>
      <c r="Q736" s="99"/>
    </row>
    <row r="737" spans="1:17" ht="14.45" customHeight="1">
      <c r="A737" s="75">
        <v>106</v>
      </c>
      <c r="B737" s="76"/>
      <c r="C737" s="103" t="s">
        <v>383</v>
      </c>
      <c r="D737" s="103" t="s">
        <v>165</v>
      </c>
      <c r="E737" s="78" t="s">
        <v>272</v>
      </c>
      <c r="F737" s="79" t="s">
        <v>50</v>
      </c>
      <c r="G737" s="79" t="s">
        <v>50</v>
      </c>
      <c r="H737" s="80" t="s">
        <v>50</v>
      </c>
      <c r="I737" s="79" t="s">
        <v>51</v>
      </c>
      <c r="J737" s="79" t="s">
        <v>51</v>
      </c>
      <c r="K737" s="80" t="s">
        <v>51</v>
      </c>
      <c r="L737" s="79"/>
      <c r="M737" s="79"/>
      <c r="N737" s="80"/>
      <c r="O737" s="79"/>
      <c r="P737" s="79"/>
      <c r="Q737" s="80"/>
    </row>
    <row r="738" spans="1:17" ht="60" customHeight="1">
      <c r="A738" s="81">
        <v>106</v>
      </c>
      <c r="B738" s="82"/>
      <c r="C738" s="104" t="s">
        <v>383</v>
      </c>
      <c r="D738" s="104" t="s">
        <v>165</v>
      </c>
      <c r="E738" s="84" t="s">
        <v>272</v>
      </c>
      <c r="F738" s="85"/>
      <c r="G738" s="86" t="s">
        <v>385</v>
      </c>
      <c r="H738" s="87" t="s">
        <v>385</v>
      </c>
      <c r="I738" s="85"/>
      <c r="J738" s="86"/>
      <c r="K738" s="87"/>
      <c r="L738" s="86"/>
      <c r="M738" s="86"/>
      <c r="N738" s="87"/>
      <c r="O738" s="86"/>
      <c r="P738" s="86"/>
      <c r="Q738" s="87"/>
    </row>
    <row r="739" spans="1:17" ht="45" customHeight="1">
      <c r="A739" s="81">
        <v>106</v>
      </c>
      <c r="B739" s="82"/>
      <c r="C739" s="104" t="s">
        <v>383</v>
      </c>
      <c r="D739" s="104" t="s">
        <v>165</v>
      </c>
      <c r="E739" s="84" t="s">
        <v>272</v>
      </c>
      <c r="F739" s="85"/>
      <c r="G739" s="85"/>
      <c r="H739" s="88"/>
      <c r="I739" s="85"/>
      <c r="J739" s="85"/>
      <c r="K739" s="88"/>
      <c r="L739" s="86"/>
      <c r="M739" s="86"/>
      <c r="N739" s="87"/>
      <c r="O739" s="86"/>
      <c r="P739" s="86"/>
      <c r="Q739" s="87"/>
    </row>
    <row r="740" spans="1:17" ht="14.45" customHeight="1">
      <c r="A740" s="81">
        <v>106</v>
      </c>
      <c r="B740" s="82"/>
      <c r="C740" s="104" t="s">
        <v>383</v>
      </c>
      <c r="D740" s="104" t="s">
        <v>165</v>
      </c>
      <c r="E740" s="84" t="s">
        <v>272</v>
      </c>
      <c r="F740" s="89">
        <v>7</v>
      </c>
      <c r="G740" s="89">
        <v>17</v>
      </c>
      <c r="H740" s="90">
        <v>5</v>
      </c>
      <c r="I740" s="89">
        <v>8</v>
      </c>
      <c r="J740" s="89">
        <v>19</v>
      </c>
      <c r="K740" s="90">
        <v>6</v>
      </c>
      <c r="L740" s="86"/>
      <c r="M740" s="86"/>
      <c r="N740" s="87"/>
      <c r="O740" s="86"/>
      <c r="P740" s="86"/>
      <c r="Q740" s="87"/>
    </row>
    <row r="741" spans="1:17" ht="45" customHeight="1">
      <c r="A741" s="81">
        <v>106</v>
      </c>
      <c r="B741" s="82"/>
      <c r="C741" s="104" t="s">
        <v>383</v>
      </c>
      <c r="D741" s="104" t="s">
        <v>165</v>
      </c>
      <c r="E741" s="84" t="s">
        <v>272</v>
      </c>
      <c r="F741" s="85"/>
      <c r="G741" s="85"/>
      <c r="H741" s="88"/>
      <c r="I741" s="85"/>
      <c r="J741" s="85"/>
      <c r="K741" s="88"/>
      <c r="L741" s="86"/>
      <c r="M741" s="86"/>
      <c r="N741" s="87"/>
      <c r="O741" s="86"/>
      <c r="P741" s="86"/>
      <c r="Q741" s="87"/>
    </row>
    <row r="742" spans="1:17" ht="14.45" customHeight="1">
      <c r="A742" s="81">
        <v>106</v>
      </c>
      <c r="B742" s="82"/>
      <c r="C742" s="104" t="s">
        <v>383</v>
      </c>
      <c r="D742" s="104" t="s">
        <v>165</v>
      </c>
      <c r="E742" s="84" t="s">
        <v>272</v>
      </c>
      <c r="F742" s="85"/>
      <c r="G742" s="85"/>
      <c r="H742" s="88"/>
      <c r="I742" s="85"/>
      <c r="J742" s="85"/>
      <c r="K742" s="88"/>
      <c r="L742" s="86"/>
      <c r="M742" s="86"/>
      <c r="N742" s="87"/>
      <c r="O742" s="86"/>
      <c r="P742" s="86"/>
      <c r="Q742" s="87"/>
    </row>
    <row r="743" spans="1:17" ht="24" customHeight="1">
      <c r="A743" s="91">
        <v>106</v>
      </c>
      <c r="B743" s="92"/>
      <c r="C743" s="105" t="s">
        <v>383</v>
      </c>
      <c r="D743" s="105" t="s">
        <v>165</v>
      </c>
      <c r="E743" s="94" t="s">
        <v>272</v>
      </c>
      <c r="F743" s="95" t="s">
        <v>56</v>
      </c>
      <c r="G743" s="96">
        <v>1520</v>
      </c>
      <c r="H743" s="97">
        <v>1520</v>
      </c>
      <c r="I743" s="95" t="s">
        <v>56</v>
      </c>
      <c r="J743" s="96">
        <v>1730</v>
      </c>
      <c r="K743" s="97">
        <v>1730</v>
      </c>
      <c r="L743" s="98"/>
      <c r="M743" s="98"/>
      <c r="N743" s="99"/>
      <c r="O743" s="98"/>
      <c r="P743" s="98"/>
      <c r="Q743" s="99"/>
    </row>
    <row r="744" spans="1:17" ht="14.45" customHeight="1">
      <c r="A744" s="75">
        <v>107</v>
      </c>
      <c r="B744" s="76"/>
      <c r="C744" s="106" t="s">
        <v>362</v>
      </c>
      <c r="D744" s="106" t="s">
        <v>180</v>
      </c>
      <c r="E744" s="78" t="s">
        <v>267</v>
      </c>
      <c r="F744" s="79" t="s">
        <v>50</v>
      </c>
      <c r="G744" s="79" t="s">
        <v>50</v>
      </c>
      <c r="H744" s="80" t="s">
        <v>50</v>
      </c>
      <c r="I744" s="79"/>
      <c r="J744" s="79"/>
      <c r="K744" s="80"/>
      <c r="L744" s="79"/>
      <c r="M744" s="79"/>
      <c r="N744" s="80"/>
      <c r="O744" s="79"/>
      <c r="P744" s="79"/>
      <c r="Q744" s="80"/>
    </row>
    <row r="745" spans="1:17" ht="60" customHeight="1">
      <c r="A745" s="81">
        <v>107</v>
      </c>
      <c r="B745" s="82"/>
      <c r="C745" s="107" t="s">
        <v>362</v>
      </c>
      <c r="D745" s="107" t="s">
        <v>180</v>
      </c>
      <c r="E745" s="84" t="s">
        <v>267</v>
      </c>
      <c r="F745" s="85"/>
      <c r="G745" s="86"/>
      <c r="H745" s="87"/>
      <c r="I745" s="86"/>
      <c r="J745" s="86"/>
      <c r="K745" s="87"/>
      <c r="L745" s="86"/>
      <c r="M745" s="86"/>
      <c r="N745" s="87"/>
      <c r="O745" s="86"/>
      <c r="P745" s="86"/>
      <c r="Q745" s="87"/>
    </row>
    <row r="746" spans="1:17" ht="45" customHeight="1">
      <c r="A746" s="81">
        <v>107</v>
      </c>
      <c r="B746" s="82"/>
      <c r="C746" s="107" t="s">
        <v>362</v>
      </c>
      <c r="D746" s="107" t="s">
        <v>180</v>
      </c>
      <c r="E746" s="84" t="s">
        <v>267</v>
      </c>
      <c r="F746" s="85"/>
      <c r="G746" s="85"/>
      <c r="H746" s="88"/>
      <c r="I746" s="86"/>
      <c r="J746" s="86"/>
      <c r="K746" s="87"/>
      <c r="L746" s="86"/>
      <c r="M746" s="86"/>
      <c r="N746" s="87"/>
      <c r="O746" s="86"/>
      <c r="P746" s="86"/>
      <c r="Q746" s="87"/>
    </row>
    <row r="747" spans="1:17" ht="14.45" customHeight="1">
      <c r="A747" s="81">
        <v>107</v>
      </c>
      <c r="B747" s="82"/>
      <c r="C747" s="107" t="s">
        <v>362</v>
      </c>
      <c r="D747" s="107" t="s">
        <v>180</v>
      </c>
      <c r="E747" s="84" t="s">
        <v>267</v>
      </c>
      <c r="F747" s="89">
        <v>30</v>
      </c>
      <c r="G747" s="89">
        <v>18</v>
      </c>
      <c r="H747" s="90">
        <v>11</v>
      </c>
      <c r="I747" s="86"/>
      <c r="J747" s="86"/>
      <c r="K747" s="87"/>
      <c r="L747" s="86"/>
      <c r="M747" s="86"/>
      <c r="N747" s="87"/>
      <c r="O747" s="86"/>
      <c r="P747" s="86"/>
      <c r="Q747" s="87"/>
    </row>
    <row r="748" spans="1:17" ht="45" customHeight="1">
      <c r="A748" s="81">
        <v>107</v>
      </c>
      <c r="B748" s="82"/>
      <c r="C748" s="107" t="s">
        <v>362</v>
      </c>
      <c r="D748" s="107" t="s">
        <v>180</v>
      </c>
      <c r="E748" s="84" t="s">
        <v>267</v>
      </c>
      <c r="F748" s="85"/>
      <c r="G748" s="85"/>
      <c r="H748" s="88"/>
      <c r="I748" s="86"/>
      <c r="J748" s="86"/>
      <c r="K748" s="87"/>
      <c r="L748" s="86"/>
      <c r="M748" s="86"/>
      <c r="N748" s="87"/>
      <c r="O748" s="86"/>
      <c r="P748" s="86"/>
      <c r="Q748" s="87"/>
    </row>
    <row r="749" spans="1:17" ht="14.45" customHeight="1">
      <c r="A749" s="81">
        <v>107</v>
      </c>
      <c r="B749" s="82"/>
      <c r="C749" s="107" t="s">
        <v>362</v>
      </c>
      <c r="D749" s="107" t="s">
        <v>180</v>
      </c>
      <c r="E749" s="84" t="s">
        <v>267</v>
      </c>
      <c r="F749" s="85"/>
      <c r="G749" s="85"/>
      <c r="H749" s="88"/>
      <c r="I749" s="86"/>
      <c r="J749" s="86"/>
      <c r="K749" s="87"/>
      <c r="L749" s="86"/>
      <c r="M749" s="86"/>
      <c r="N749" s="87"/>
      <c r="O749" s="86"/>
      <c r="P749" s="86"/>
      <c r="Q749" s="87"/>
    </row>
    <row r="750" spans="1:17" ht="24" customHeight="1">
      <c r="A750" s="91">
        <v>107</v>
      </c>
      <c r="B750" s="92"/>
      <c r="C750" s="108" t="s">
        <v>362</v>
      </c>
      <c r="D750" s="108" t="s">
        <v>180</v>
      </c>
      <c r="E750" s="94" t="s">
        <v>267</v>
      </c>
      <c r="F750" s="95" t="s">
        <v>56</v>
      </c>
      <c r="G750" s="96">
        <v>2390</v>
      </c>
      <c r="H750" s="97">
        <v>2390</v>
      </c>
      <c r="I750" s="98"/>
      <c r="J750" s="98"/>
      <c r="K750" s="99"/>
      <c r="L750" s="98"/>
      <c r="M750" s="98"/>
      <c r="N750" s="99"/>
      <c r="O750" s="98"/>
      <c r="P750" s="98"/>
      <c r="Q750" s="99"/>
    </row>
    <row r="751" spans="1:17" ht="14.45" customHeight="1">
      <c r="A751" s="75">
        <v>108</v>
      </c>
      <c r="B751" s="76"/>
      <c r="C751" s="106" t="s">
        <v>363</v>
      </c>
      <c r="D751" s="106" t="s">
        <v>180</v>
      </c>
      <c r="E751" s="78" t="s">
        <v>267</v>
      </c>
      <c r="F751" s="79" t="s">
        <v>50</v>
      </c>
      <c r="G751" s="79" t="s">
        <v>50</v>
      </c>
      <c r="H751" s="80" t="s">
        <v>50</v>
      </c>
      <c r="I751" s="79"/>
      <c r="J751" s="79"/>
      <c r="K751" s="80"/>
      <c r="L751" s="79"/>
      <c r="M751" s="79"/>
      <c r="N751" s="80"/>
      <c r="O751" s="79"/>
      <c r="P751" s="79"/>
      <c r="Q751" s="80"/>
    </row>
    <row r="752" spans="1:17" ht="60" customHeight="1">
      <c r="A752" s="81">
        <v>108</v>
      </c>
      <c r="B752" s="82"/>
      <c r="C752" s="107" t="s">
        <v>363</v>
      </c>
      <c r="D752" s="107" t="s">
        <v>180</v>
      </c>
      <c r="E752" s="84" t="s">
        <v>267</v>
      </c>
      <c r="F752" s="85"/>
      <c r="G752" s="86"/>
      <c r="H752" s="87"/>
      <c r="I752" s="86"/>
      <c r="J752" s="86"/>
      <c r="K752" s="87"/>
      <c r="L752" s="86"/>
      <c r="M752" s="86"/>
      <c r="N752" s="87"/>
      <c r="O752" s="86"/>
      <c r="P752" s="86"/>
      <c r="Q752" s="87"/>
    </row>
    <row r="753" spans="1:17" ht="45" customHeight="1">
      <c r="A753" s="81">
        <v>108</v>
      </c>
      <c r="B753" s="82"/>
      <c r="C753" s="107" t="s">
        <v>363</v>
      </c>
      <c r="D753" s="107" t="s">
        <v>180</v>
      </c>
      <c r="E753" s="84" t="s">
        <v>267</v>
      </c>
      <c r="F753" s="85"/>
      <c r="G753" s="85"/>
      <c r="H753" s="88"/>
      <c r="I753" s="86"/>
      <c r="J753" s="86"/>
      <c r="K753" s="87"/>
      <c r="L753" s="86"/>
      <c r="M753" s="86"/>
      <c r="N753" s="87"/>
      <c r="O753" s="86"/>
      <c r="P753" s="86"/>
      <c r="Q753" s="87"/>
    </row>
    <row r="754" spans="1:17" ht="14.45" customHeight="1">
      <c r="A754" s="81">
        <v>108</v>
      </c>
      <c r="B754" s="82"/>
      <c r="C754" s="107" t="s">
        <v>363</v>
      </c>
      <c r="D754" s="107" t="s">
        <v>180</v>
      </c>
      <c r="E754" s="84" t="s">
        <v>267</v>
      </c>
      <c r="F754" s="89">
        <v>30</v>
      </c>
      <c r="G754" s="89">
        <v>18</v>
      </c>
      <c r="H754" s="90">
        <v>11</v>
      </c>
      <c r="I754" s="86"/>
      <c r="J754" s="86"/>
      <c r="K754" s="87"/>
      <c r="L754" s="86"/>
      <c r="M754" s="86"/>
      <c r="N754" s="87"/>
      <c r="O754" s="86"/>
      <c r="P754" s="86"/>
      <c r="Q754" s="87"/>
    </row>
    <row r="755" spans="1:17" ht="45" customHeight="1">
      <c r="A755" s="81">
        <v>108</v>
      </c>
      <c r="B755" s="82"/>
      <c r="C755" s="107" t="s">
        <v>363</v>
      </c>
      <c r="D755" s="107" t="s">
        <v>180</v>
      </c>
      <c r="E755" s="84" t="s">
        <v>267</v>
      </c>
      <c r="F755" s="85"/>
      <c r="G755" s="85"/>
      <c r="H755" s="88"/>
      <c r="I755" s="86"/>
      <c r="J755" s="86"/>
      <c r="K755" s="87"/>
      <c r="L755" s="86"/>
      <c r="M755" s="86"/>
      <c r="N755" s="87"/>
      <c r="O755" s="86"/>
      <c r="P755" s="86"/>
      <c r="Q755" s="87"/>
    </row>
    <row r="756" spans="1:17" ht="14.45" customHeight="1">
      <c r="A756" s="81">
        <v>108</v>
      </c>
      <c r="B756" s="82"/>
      <c r="C756" s="107" t="s">
        <v>363</v>
      </c>
      <c r="D756" s="107" t="s">
        <v>180</v>
      </c>
      <c r="E756" s="84" t="s">
        <v>267</v>
      </c>
      <c r="F756" s="85"/>
      <c r="G756" s="85"/>
      <c r="H756" s="88"/>
      <c r="I756" s="86"/>
      <c r="J756" s="86"/>
      <c r="K756" s="87"/>
      <c r="L756" s="86"/>
      <c r="M756" s="86"/>
      <c r="N756" s="87"/>
      <c r="O756" s="86"/>
      <c r="P756" s="86"/>
      <c r="Q756" s="87"/>
    </row>
    <row r="757" spans="1:17" ht="24" customHeight="1">
      <c r="A757" s="91">
        <v>108</v>
      </c>
      <c r="B757" s="92"/>
      <c r="C757" s="108" t="s">
        <v>363</v>
      </c>
      <c r="D757" s="108" t="s">
        <v>180</v>
      </c>
      <c r="E757" s="94" t="s">
        <v>267</v>
      </c>
      <c r="F757" s="95" t="s">
        <v>56</v>
      </c>
      <c r="G757" s="96">
        <v>2390</v>
      </c>
      <c r="H757" s="97">
        <v>2390</v>
      </c>
      <c r="I757" s="98"/>
      <c r="J757" s="98"/>
      <c r="K757" s="99"/>
      <c r="L757" s="98"/>
      <c r="M757" s="98"/>
      <c r="N757" s="99"/>
      <c r="O757" s="98"/>
      <c r="P757" s="98"/>
      <c r="Q757" s="99"/>
    </row>
    <row r="758" spans="1:17" ht="14.45" customHeight="1">
      <c r="A758" s="75">
        <v>109</v>
      </c>
      <c r="B758" s="76"/>
      <c r="C758" s="106" t="s">
        <v>365</v>
      </c>
      <c r="D758" s="106" t="s">
        <v>180</v>
      </c>
      <c r="E758" s="78" t="s">
        <v>267</v>
      </c>
      <c r="F758" s="79" t="s">
        <v>50</v>
      </c>
      <c r="G758" s="79" t="s">
        <v>50</v>
      </c>
      <c r="H758" s="80" t="s">
        <v>50</v>
      </c>
      <c r="I758" s="79"/>
      <c r="J758" s="79"/>
      <c r="K758" s="80"/>
      <c r="L758" s="79"/>
      <c r="M758" s="79"/>
      <c r="N758" s="80"/>
      <c r="O758" s="79"/>
      <c r="P758" s="79"/>
      <c r="Q758" s="80"/>
    </row>
    <row r="759" spans="1:17" ht="60" customHeight="1">
      <c r="A759" s="81">
        <v>109</v>
      </c>
      <c r="B759" s="82"/>
      <c r="C759" s="107" t="s">
        <v>365</v>
      </c>
      <c r="D759" s="107" t="s">
        <v>180</v>
      </c>
      <c r="E759" s="84" t="s">
        <v>267</v>
      </c>
      <c r="F759" s="85"/>
      <c r="G759" s="86"/>
      <c r="H759" s="87"/>
      <c r="I759" s="86"/>
      <c r="J759" s="86"/>
      <c r="K759" s="87"/>
      <c r="L759" s="86"/>
      <c r="M759" s="86"/>
      <c r="N759" s="87"/>
      <c r="O759" s="86"/>
      <c r="P759" s="86"/>
      <c r="Q759" s="87"/>
    </row>
    <row r="760" spans="1:17" ht="45" customHeight="1">
      <c r="A760" s="81">
        <v>109</v>
      </c>
      <c r="B760" s="82"/>
      <c r="C760" s="107" t="s">
        <v>365</v>
      </c>
      <c r="D760" s="107" t="s">
        <v>180</v>
      </c>
      <c r="E760" s="84" t="s">
        <v>267</v>
      </c>
      <c r="F760" s="85"/>
      <c r="G760" s="85"/>
      <c r="H760" s="88"/>
      <c r="I760" s="86"/>
      <c r="J760" s="86"/>
      <c r="K760" s="87"/>
      <c r="L760" s="86"/>
      <c r="M760" s="86"/>
      <c r="N760" s="87"/>
      <c r="O760" s="86"/>
      <c r="P760" s="86"/>
      <c r="Q760" s="87"/>
    </row>
    <row r="761" spans="1:17" ht="14.45" customHeight="1">
      <c r="A761" s="81">
        <v>109</v>
      </c>
      <c r="B761" s="82"/>
      <c r="C761" s="107" t="s">
        <v>365</v>
      </c>
      <c r="D761" s="107" t="s">
        <v>180</v>
      </c>
      <c r="E761" s="84" t="s">
        <v>267</v>
      </c>
      <c r="F761" s="89">
        <v>30</v>
      </c>
      <c r="G761" s="89">
        <v>18</v>
      </c>
      <c r="H761" s="90">
        <v>11</v>
      </c>
      <c r="I761" s="86"/>
      <c r="J761" s="86"/>
      <c r="K761" s="87"/>
      <c r="L761" s="86"/>
      <c r="M761" s="86"/>
      <c r="N761" s="87"/>
      <c r="O761" s="86"/>
      <c r="P761" s="86"/>
      <c r="Q761" s="87"/>
    </row>
    <row r="762" spans="1:17" ht="45" customHeight="1">
      <c r="A762" s="81">
        <v>109</v>
      </c>
      <c r="B762" s="82"/>
      <c r="C762" s="107" t="s">
        <v>365</v>
      </c>
      <c r="D762" s="107" t="s">
        <v>180</v>
      </c>
      <c r="E762" s="84" t="s">
        <v>267</v>
      </c>
      <c r="F762" s="85"/>
      <c r="G762" s="85"/>
      <c r="H762" s="88"/>
      <c r="I762" s="86"/>
      <c r="J762" s="86"/>
      <c r="K762" s="87"/>
      <c r="L762" s="86"/>
      <c r="M762" s="86"/>
      <c r="N762" s="87"/>
      <c r="O762" s="86"/>
      <c r="P762" s="86"/>
      <c r="Q762" s="87"/>
    </row>
    <row r="763" spans="1:17" ht="14.45" customHeight="1">
      <c r="A763" s="81">
        <v>109</v>
      </c>
      <c r="B763" s="82"/>
      <c r="C763" s="107" t="s">
        <v>365</v>
      </c>
      <c r="D763" s="107" t="s">
        <v>180</v>
      </c>
      <c r="E763" s="84" t="s">
        <v>267</v>
      </c>
      <c r="F763" s="85"/>
      <c r="G763" s="85"/>
      <c r="H763" s="88"/>
      <c r="I763" s="86"/>
      <c r="J763" s="86"/>
      <c r="K763" s="87"/>
      <c r="L763" s="86"/>
      <c r="M763" s="86"/>
      <c r="N763" s="87"/>
      <c r="O763" s="86"/>
      <c r="P763" s="86"/>
      <c r="Q763" s="87"/>
    </row>
    <row r="764" spans="1:17" ht="24" customHeight="1">
      <c r="A764" s="91">
        <v>109</v>
      </c>
      <c r="B764" s="92"/>
      <c r="C764" s="108" t="s">
        <v>365</v>
      </c>
      <c r="D764" s="108" t="s">
        <v>180</v>
      </c>
      <c r="E764" s="94" t="s">
        <v>267</v>
      </c>
      <c r="F764" s="95" t="s">
        <v>56</v>
      </c>
      <c r="G764" s="96">
        <v>2390</v>
      </c>
      <c r="H764" s="97">
        <v>2390</v>
      </c>
      <c r="I764" s="98"/>
      <c r="J764" s="98"/>
      <c r="K764" s="99"/>
      <c r="L764" s="98"/>
      <c r="M764" s="98"/>
      <c r="N764" s="99"/>
      <c r="O764" s="98"/>
      <c r="P764" s="98"/>
      <c r="Q764" s="99"/>
    </row>
    <row r="765" spans="1:17" ht="14.45" customHeight="1">
      <c r="A765" s="75">
        <v>110</v>
      </c>
      <c r="B765" s="76"/>
      <c r="C765" s="106" t="s">
        <v>364</v>
      </c>
      <c r="D765" s="106" t="s">
        <v>180</v>
      </c>
      <c r="E765" s="78" t="s">
        <v>267</v>
      </c>
      <c r="F765" s="79" t="s">
        <v>50</v>
      </c>
      <c r="G765" s="79" t="s">
        <v>50</v>
      </c>
      <c r="H765" s="80" t="s">
        <v>50</v>
      </c>
      <c r="I765" s="79"/>
      <c r="J765" s="79"/>
      <c r="K765" s="80"/>
      <c r="L765" s="79"/>
      <c r="M765" s="79"/>
      <c r="N765" s="80"/>
      <c r="O765" s="79"/>
      <c r="P765" s="79"/>
      <c r="Q765" s="80"/>
    </row>
    <row r="766" spans="1:17" ht="60" customHeight="1">
      <c r="A766" s="81">
        <v>110</v>
      </c>
      <c r="B766" s="82"/>
      <c r="C766" s="107" t="s">
        <v>364</v>
      </c>
      <c r="D766" s="107" t="s">
        <v>180</v>
      </c>
      <c r="E766" s="84" t="s">
        <v>267</v>
      </c>
      <c r="F766" s="85"/>
      <c r="G766" s="86"/>
      <c r="H766" s="87"/>
      <c r="I766" s="86"/>
      <c r="J766" s="86"/>
      <c r="K766" s="87"/>
      <c r="L766" s="86"/>
      <c r="M766" s="86"/>
      <c r="N766" s="87"/>
      <c r="O766" s="86"/>
      <c r="P766" s="86"/>
      <c r="Q766" s="87"/>
    </row>
    <row r="767" spans="1:17" ht="45" customHeight="1">
      <c r="A767" s="81">
        <v>110</v>
      </c>
      <c r="B767" s="82"/>
      <c r="C767" s="107" t="s">
        <v>364</v>
      </c>
      <c r="D767" s="107" t="s">
        <v>180</v>
      </c>
      <c r="E767" s="84" t="s">
        <v>267</v>
      </c>
      <c r="F767" s="85"/>
      <c r="G767" s="85"/>
      <c r="H767" s="88"/>
      <c r="I767" s="86"/>
      <c r="J767" s="86"/>
      <c r="K767" s="87"/>
      <c r="L767" s="86"/>
      <c r="M767" s="86"/>
      <c r="N767" s="87"/>
      <c r="O767" s="86"/>
      <c r="P767" s="86"/>
      <c r="Q767" s="87"/>
    </row>
    <row r="768" spans="1:17" ht="14.45" customHeight="1">
      <c r="A768" s="81">
        <v>110</v>
      </c>
      <c r="B768" s="82"/>
      <c r="C768" s="107" t="s">
        <v>364</v>
      </c>
      <c r="D768" s="107" t="s">
        <v>180</v>
      </c>
      <c r="E768" s="84" t="s">
        <v>267</v>
      </c>
      <c r="F768" s="89">
        <v>30</v>
      </c>
      <c r="G768" s="89">
        <v>18</v>
      </c>
      <c r="H768" s="90">
        <v>11</v>
      </c>
      <c r="I768" s="86"/>
      <c r="J768" s="86"/>
      <c r="K768" s="87"/>
      <c r="L768" s="86"/>
      <c r="M768" s="86"/>
      <c r="N768" s="87"/>
      <c r="O768" s="86"/>
      <c r="P768" s="86"/>
      <c r="Q768" s="87"/>
    </row>
    <row r="769" spans="1:17" ht="45" customHeight="1">
      <c r="A769" s="81">
        <v>110</v>
      </c>
      <c r="B769" s="82"/>
      <c r="C769" s="107" t="s">
        <v>364</v>
      </c>
      <c r="D769" s="107" t="s">
        <v>180</v>
      </c>
      <c r="E769" s="84" t="s">
        <v>267</v>
      </c>
      <c r="F769" s="85"/>
      <c r="G769" s="85"/>
      <c r="H769" s="88"/>
      <c r="I769" s="86"/>
      <c r="J769" s="86"/>
      <c r="K769" s="87"/>
      <c r="L769" s="86"/>
      <c r="M769" s="86"/>
      <c r="N769" s="87"/>
      <c r="O769" s="86"/>
      <c r="P769" s="86"/>
      <c r="Q769" s="87"/>
    </row>
    <row r="770" spans="1:17" ht="14.45" customHeight="1">
      <c r="A770" s="81">
        <v>110</v>
      </c>
      <c r="B770" s="82"/>
      <c r="C770" s="107" t="s">
        <v>364</v>
      </c>
      <c r="D770" s="107" t="s">
        <v>180</v>
      </c>
      <c r="E770" s="84" t="s">
        <v>267</v>
      </c>
      <c r="F770" s="85"/>
      <c r="G770" s="85"/>
      <c r="H770" s="88"/>
      <c r="I770" s="86"/>
      <c r="J770" s="86"/>
      <c r="K770" s="87"/>
      <c r="L770" s="86"/>
      <c r="M770" s="86"/>
      <c r="N770" s="87"/>
      <c r="O770" s="86"/>
      <c r="P770" s="86"/>
      <c r="Q770" s="87"/>
    </row>
    <row r="771" spans="1:17" ht="24" customHeight="1">
      <c r="A771" s="91">
        <v>110</v>
      </c>
      <c r="B771" s="92"/>
      <c r="C771" s="108" t="s">
        <v>364</v>
      </c>
      <c r="D771" s="108" t="s">
        <v>180</v>
      </c>
      <c r="E771" s="94" t="s">
        <v>267</v>
      </c>
      <c r="F771" s="95" t="s">
        <v>56</v>
      </c>
      <c r="G771" s="96">
        <v>2390</v>
      </c>
      <c r="H771" s="97">
        <v>2390</v>
      </c>
      <c r="I771" s="98"/>
      <c r="J771" s="98"/>
      <c r="K771" s="99"/>
      <c r="L771" s="98"/>
      <c r="M771" s="98"/>
      <c r="N771" s="99"/>
      <c r="O771" s="98"/>
      <c r="P771" s="98"/>
      <c r="Q771" s="99"/>
    </row>
    <row r="772" spans="1:17" ht="14.45" customHeight="1">
      <c r="A772" s="75">
        <v>111</v>
      </c>
      <c r="B772" s="76"/>
      <c r="C772" s="106" t="s">
        <v>366</v>
      </c>
      <c r="D772" s="106" t="s">
        <v>180</v>
      </c>
      <c r="E772" s="78" t="s">
        <v>267</v>
      </c>
      <c r="F772" s="79" t="s">
        <v>50</v>
      </c>
      <c r="G772" s="79" t="s">
        <v>50</v>
      </c>
      <c r="H772" s="80" t="s">
        <v>50</v>
      </c>
      <c r="I772" s="79"/>
      <c r="J772" s="79"/>
      <c r="K772" s="80"/>
      <c r="L772" s="79"/>
      <c r="M772" s="79"/>
      <c r="N772" s="80"/>
      <c r="O772" s="79"/>
      <c r="P772" s="79"/>
      <c r="Q772" s="80"/>
    </row>
    <row r="773" spans="1:17" ht="60" customHeight="1">
      <c r="A773" s="81">
        <v>111</v>
      </c>
      <c r="B773" s="82"/>
      <c r="C773" s="107" t="s">
        <v>366</v>
      </c>
      <c r="D773" s="107" t="s">
        <v>180</v>
      </c>
      <c r="E773" s="84" t="s">
        <v>267</v>
      </c>
      <c r="F773" s="85"/>
      <c r="G773" s="86"/>
      <c r="H773" s="87"/>
      <c r="I773" s="86"/>
      <c r="J773" s="86"/>
      <c r="K773" s="87"/>
      <c r="L773" s="86"/>
      <c r="M773" s="86"/>
      <c r="N773" s="87"/>
      <c r="O773" s="86"/>
      <c r="P773" s="86"/>
      <c r="Q773" s="87"/>
    </row>
    <row r="774" spans="1:17" ht="45" customHeight="1">
      <c r="A774" s="81">
        <v>111</v>
      </c>
      <c r="B774" s="82"/>
      <c r="C774" s="107" t="s">
        <v>366</v>
      </c>
      <c r="D774" s="107" t="s">
        <v>180</v>
      </c>
      <c r="E774" s="84" t="s">
        <v>267</v>
      </c>
      <c r="F774" s="85"/>
      <c r="G774" s="85"/>
      <c r="H774" s="88"/>
      <c r="I774" s="86"/>
      <c r="J774" s="86"/>
      <c r="K774" s="87"/>
      <c r="L774" s="86"/>
      <c r="M774" s="86"/>
      <c r="N774" s="87"/>
      <c r="O774" s="86"/>
      <c r="P774" s="86"/>
      <c r="Q774" s="87"/>
    </row>
    <row r="775" spans="1:17" ht="14.45" customHeight="1">
      <c r="A775" s="81">
        <v>111</v>
      </c>
      <c r="B775" s="82"/>
      <c r="C775" s="107" t="s">
        <v>366</v>
      </c>
      <c r="D775" s="107" t="s">
        <v>180</v>
      </c>
      <c r="E775" s="84" t="s">
        <v>267</v>
      </c>
      <c r="F775" s="89">
        <v>30</v>
      </c>
      <c r="G775" s="89">
        <v>18</v>
      </c>
      <c r="H775" s="90">
        <v>11</v>
      </c>
      <c r="I775" s="86"/>
      <c r="J775" s="86"/>
      <c r="K775" s="87"/>
      <c r="L775" s="86"/>
      <c r="M775" s="86"/>
      <c r="N775" s="87"/>
      <c r="O775" s="86"/>
      <c r="P775" s="86"/>
      <c r="Q775" s="87"/>
    </row>
    <row r="776" spans="1:17" ht="45" customHeight="1">
      <c r="A776" s="81">
        <v>111</v>
      </c>
      <c r="B776" s="82"/>
      <c r="C776" s="107" t="s">
        <v>366</v>
      </c>
      <c r="D776" s="107" t="s">
        <v>180</v>
      </c>
      <c r="E776" s="84" t="s">
        <v>267</v>
      </c>
      <c r="F776" s="85"/>
      <c r="G776" s="85"/>
      <c r="H776" s="88"/>
      <c r="I776" s="86"/>
      <c r="J776" s="86"/>
      <c r="K776" s="87"/>
      <c r="L776" s="86"/>
      <c r="M776" s="86"/>
      <c r="N776" s="87"/>
      <c r="O776" s="86"/>
      <c r="P776" s="86"/>
      <c r="Q776" s="87"/>
    </row>
    <row r="777" spans="1:17" ht="14.45" customHeight="1">
      <c r="A777" s="81">
        <v>111</v>
      </c>
      <c r="B777" s="82"/>
      <c r="C777" s="107" t="s">
        <v>366</v>
      </c>
      <c r="D777" s="107" t="s">
        <v>180</v>
      </c>
      <c r="E777" s="84" t="s">
        <v>267</v>
      </c>
      <c r="F777" s="85"/>
      <c r="G777" s="85"/>
      <c r="H777" s="88"/>
      <c r="I777" s="86"/>
      <c r="J777" s="86"/>
      <c r="K777" s="87"/>
      <c r="L777" s="86"/>
      <c r="M777" s="86"/>
      <c r="N777" s="87"/>
      <c r="O777" s="86"/>
      <c r="P777" s="86"/>
      <c r="Q777" s="87"/>
    </row>
    <row r="778" spans="1:17" ht="24" customHeight="1">
      <c r="A778" s="91">
        <v>111</v>
      </c>
      <c r="B778" s="92"/>
      <c r="C778" s="108" t="s">
        <v>366</v>
      </c>
      <c r="D778" s="108" t="s">
        <v>180</v>
      </c>
      <c r="E778" s="94" t="s">
        <v>267</v>
      </c>
      <c r="F778" s="95" t="s">
        <v>56</v>
      </c>
      <c r="G778" s="96">
        <v>2390</v>
      </c>
      <c r="H778" s="97">
        <v>2390</v>
      </c>
      <c r="I778" s="98"/>
      <c r="J778" s="98"/>
      <c r="K778" s="99"/>
      <c r="L778" s="98"/>
      <c r="M778" s="98"/>
      <c r="N778" s="99"/>
      <c r="O778" s="98"/>
      <c r="P778" s="98"/>
      <c r="Q778" s="99"/>
    </row>
    <row r="779" spans="1:17" ht="14.45" customHeight="1">
      <c r="A779" s="75">
        <v>112</v>
      </c>
      <c r="B779" s="76"/>
      <c r="C779" s="106" t="s">
        <v>361</v>
      </c>
      <c r="D779" s="106" t="s">
        <v>180</v>
      </c>
      <c r="E779" s="78" t="s">
        <v>267</v>
      </c>
      <c r="F779" s="79" t="s">
        <v>50</v>
      </c>
      <c r="G779" s="79" t="s">
        <v>50</v>
      </c>
      <c r="H779" s="80" t="s">
        <v>50</v>
      </c>
      <c r="I779" s="79"/>
      <c r="J779" s="79"/>
      <c r="K779" s="80"/>
      <c r="L779" s="79"/>
      <c r="M779" s="79"/>
      <c r="N779" s="80"/>
      <c r="O779" s="79"/>
      <c r="P779" s="79"/>
      <c r="Q779" s="80"/>
    </row>
    <row r="780" spans="1:17" ht="60" customHeight="1">
      <c r="A780" s="81">
        <v>112</v>
      </c>
      <c r="B780" s="82"/>
      <c r="C780" s="107" t="s">
        <v>361</v>
      </c>
      <c r="D780" s="107" t="s">
        <v>180</v>
      </c>
      <c r="E780" s="84" t="s">
        <v>267</v>
      </c>
      <c r="F780" s="85"/>
      <c r="G780" s="86"/>
      <c r="H780" s="87"/>
      <c r="I780" s="86"/>
      <c r="J780" s="86"/>
      <c r="K780" s="87"/>
      <c r="L780" s="86"/>
      <c r="M780" s="86"/>
      <c r="N780" s="87"/>
      <c r="O780" s="86"/>
      <c r="P780" s="86"/>
      <c r="Q780" s="87"/>
    </row>
    <row r="781" spans="1:17" ht="45" customHeight="1">
      <c r="A781" s="81">
        <v>112</v>
      </c>
      <c r="B781" s="82"/>
      <c r="C781" s="107" t="s">
        <v>361</v>
      </c>
      <c r="D781" s="107" t="s">
        <v>180</v>
      </c>
      <c r="E781" s="84" t="s">
        <v>267</v>
      </c>
      <c r="F781" s="85"/>
      <c r="G781" s="85"/>
      <c r="H781" s="88"/>
      <c r="I781" s="86"/>
      <c r="J781" s="86"/>
      <c r="K781" s="87"/>
      <c r="L781" s="86"/>
      <c r="M781" s="86"/>
      <c r="N781" s="87"/>
      <c r="O781" s="86"/>
      <c r="P781" s="86"/>
      <c r="Q781" s="87"/>
    </row>
    <row r="782" spans="1:17" ht="14.45" customHeight="1">
      <c r="A782" s="81">
        <v>112</v>
      </c>
      <c r="B782" s="82"/>
      <c r="C782" s="107" t="s">
        <v>361</v>
      </c>
      <c r="D782" s="107" t="s">
        <v>180</v>
      </c>
      <c r="E782" s="84" t="s">
        <v>267</v>
      </c>
      <c r="F782" s="89">
        <v>30</v>
      </c>
      <c r="G782" s="89">
        <v>18</v>
      </c>
      <c r="H782" s="90">
        <v>11</v>
      </c>
      <c r="I782" s="86"/>
      <c r="J782" s="86"/>
      <c r="K782" s="87"/>
      <c r="L782" s="86"/>
      <c r="M782" s="86"/>
      <c r="N782" s="87"/>
      <c r="O782" s="86"/>
      <c r="P782" s="86"/>
      <c r="Q782" s="87"/>
    </row>
    <row r="783" spans="1:17" ht="45" customHeight="1">
      <c r="A783" s="81">
        <v>112</v>
      </c>
      <c r="B783" s="82"/>
      <c r="C783" s="107" t="s">
        <v>361</v>
      </c>
      <c r="D783" s="107" t="s">
        <v>180</v>
      </c>
      <c r="E783" s="84" t="s">
        <v>267</v>
      </c>
      <c r="F783" s="85"/>
      <c r="G783" s="85"/>
      <c r="H783" s="88"/>
      <c r="I783" s="86"/>
      <c r="J783" s="86"/>
      <c r="K783" s="87"/>
      <c r="L783" s="86"/>
      <c r="M783" s="86"/>
      <c r="N783" s="87"/>
      <c r="O783" s="86"/>
      <c r="P783" s="86"/>
      <c r="Q783" s="87"/>
    </row>
    <row r="784" spans="1:17" ht="14.45" customHeight="1">
      <c r="A784" s="81">
        <v>112</v>
      </c>
      <c r="B784" s="82"/>
      <c r="C784" s="107" t="s">
        <v>361</v>
      </c>
      <c r="D784" s="107" t="s">
        <v>180</v>
      </c>
      <c r="E784" s="84" t="s">
        <v>267</v>
      </c>
      <c r="F784" s="85"/>
      <c r="G784" s="85"/>
      <c r="H784" s="88"/>
      <c r="I784" s="86"/>
      <c r="J784" s="86"/>
      <c r="K784" s="87"/>
      <c r="L784" s="86"/>
      <c r="M784" s="86"/>
      <c r="N784" s="87"/>
      <c r="O784" s="86"/>
      <c r="P784" s="86"/>
      <c r="Q784" s="87"/>
    </row>
    <row r="785" spans="1:17" ht="24" customHeight="1">
      <c r="A785" s="91">
        <v>112</v>
      </c>
      <c r="B785" s="92"/>
      <c r="C785" s="108" t="s">
        <v>361</v>
      </c>
      <c r="D785" s="108" t="s">
        <v>180</v>
      </c>
      <c r="E785" s="94" t="s">
        <v>267</v>
      </c>
      <c r="F785" s="95" t="s">
        <v>56</v>
      </c>
      <c r="G785" s="96">
        <v>2390</v>
      </c>
      <c r="H785" s="97">
        <v>2390</v>
      </c>
      <c r="I785" s="98"/>
      <c r="J785" s="98"/>
      <c r="K785" s="99"/>
      <c r="L785" s="98"/>
      <c r="M785" s="98"/>
      <c r="N785" s="99"/>
      <c r="O785" s="98"/>
      <c r="P785" s="98"/>
      <c r="Q785" s="99"/>
    </row>
    <row r="786" spans="1:17" ht="14.45" customHeight="1">
      <c r="A786" s="75">
        <v>113</v>
      </c>
      <c r="B786" s="76"/>
      <c r="C786" s="106" t="s">
        <v>386</v>
      </c>
      <c r="D786" s="106" t="s">
        <v>180</v>
      </c>
      <c r="E786" s="78" t="s">
        <v>341</v>
      </c>
      <c r="F786" s="79" t="s">
        <v>50</v>
      </c>
      <c r="G786" s="79" t="s">
        <v>50</v>
      </c>
      <c r="H786" s="80" t="s">
        <v>50</v>
      </c>
      <c r="I786" s="79"/>
      <c r="J786" s="79"/>
      <c r="K786" s="80"/>
      <c r="L786" s="79"/>
      <c r="M786" s="79"/>
      <c r="N786" s="80"/>
      <c r="O786" s="79"/>
      <c r="P786" s="79"/>
      <c r="Q786" s="80"/>
    </row>
    <row r="787" spans="1:17" ht="60" customHeight="1">
      <c r="A787" s="81">
        <v>113</v>
      </c>
      <c r="B787" s="82"/>
      <c r="C787" s="107" t="s">
        <v>386</v>
      </c>
      <c r="D787" s="107" t="s">
        <v>180</v>
      </c>
      <c r="E787" s="84" t="s">
        <v>341</v>
      </c>
      <c r="F787" s="85"/>
      <c r="G787" s="86"/>
      <c r="H787" s="87"/>
      <c r="I787" s="86"/>
      <c r="J787" s="86"/>
      <c r="K787" s="87"/>
      <c r="L787" s="86"/>
      <c r="M787" s="86"/>
      <c r="N787" s="87"/>
      <c r="O787" s="86"/>
      <c r="P787" s="86"/>
      <c r="Q787" s="87"/>
    </row>
    <row r="788" spans="1:17" ht="45" customHeight="1">
      <c r="A788" s="81">
        <v>113</v>
      </c>
      <c r="B788" s="82"/>
      <c r="C788" s="107" t="s">
        <v>386</v>
      </c>
      <c r="D788" s="107" t="s">
        <v>180</v>
      </c>
      <c r="E788" s="84" t="s">
        <v>341</v>
      </c>
      <c r="F788" s="85"/>
      <c r="G788" s="85"/>
      <c r="H788" s="88"/>
      <c r="I788" s="86"/>
      <c r="J788" s="86"/>
      <c r="K788" s="87"/>
      <c r="L788" s="86"/>
      <c r="M788" s="86"/>
      <c r="N788" s="87"/>
      <c r="O788" s="86"/>
      <c r="P788" s="86"/>
      <c r="Q788" s="87"/>
    </row>
    <row r="789" spans="1:17" ht="14.45" customHeight="1">
      <c r="A789" s="81">
        <v>113</v>
      </c>
      <c r="B789" s="82"/>
      <c r="C789" s="107" t="s">
        <v>386</v>
      </c>
      <c r="D789" s="107" t="s">
        <v>180</v>
      </c>
      <c r="E789" s="84" t="s">
        <v>341</v>
      </c>
      <c r="F789" s="89">
        <v>17</v>
      </c>
      <c r="G789" s="89">
        <v>21</v>
      </c>
      <c r="H789" s="90">
        <v>18</v>
      </c>
      <c r="I789" s="86"/>
      <c r="J789" s="86"/>
      <c r="K789" s="87"/>
      <c r="L789" s="86"/>
      <c r="M789" s="86"/>
      <c r="N789" s="87"/>
      <c r="O789" s="86"/>
      <c r="P789" s="86"/>
      <c r="Q789" s="87"/>
    </row>
    <row r="790" spans="1:17" ht="45" customHeight="1">
      <c r="A790" s="81">
        <v>113</v>
      </c>
      <c r="B790" s="82"/>
      <c r="C790" s="107" t="s">
        <v>386</v>
      </c>
      <c r="D790" s="107" t="s">
        <v>180</v>
      </c>
      <c r="E790" s="84" t="s">
        <v>341</v>
      </c>
      <c r="F790" s="85"/>
      <c r="G790" s="85"/>
      <c r="H790" s="88"/>
      <c r="I790" s="86"/>
      <c r="J790" s="86"/>
      <c r="K790" s="87"/>
      <c r="L790" s="86"/>
      <c r="M790" s="86"/>
      <c r="N790" s="87"/>
      <c r="O790" s="86"/>
      <c r="P790" s="86"/>
      <c r="Q790" s="87"/>
    </row>
    <row r="791" spans="1:17" ht="14.45" customHeight="1">
      <c r="A791" s="81">
        <v>113</v>
      </c>
      <c r="B791" s="82"/>
      <c r="C791" s="107" t="s">
        <v>386</v>
      </c>
      <c r="D791" s="107" t="s">
        <v>180</v>
      </c>
      <c r="E791" s="84" t="s">
        <v>341</v>
      </c>
      <c r="F791" s="85"/>
      <c r="G791" s="85"/>
      <c r="H791" s="88"/>
      <c r="I791" s="86"/>
      <c r="J791" s="86"/>
      <c r="K791" s="87"/>
      <c r="L791" s="86"/>
      <c r="M791" s="86"/>
      <c r="N791" s="87"/>
      <c r="O791" s="86"/>
      <c r="P791" s="86"/>
      <c r="Q791" s="87"/>
    </row>
    <row r="792" spans="1:17" ht="24" customHeight="1">
      <c r="A792" s="91">
        <v>113</v>
      </c>
      <c r="B792" s="92"/>
      <c r="C792" s="108" t="s">
        <v>386</v>
      </c>
      <c r="D792" s="108" t="s">
        <v>180</v>
      </c>
      <c r="E792" s="94" t="s">
        <v>341</v>
      </c>
      <c r="F792" s="95" t="s">
        <v>56</v>
      </c>
      <c r="G792" s="96">
        <v>2370</v>
      </c>
      <c r="H792" s="97">
        <v>2370</v>
      </c>
      <c r="I792" s="98"/>
      <c r="J792" s="98"/>
      <c r="K792" s="99"/>
      <c r="L792" s="98"/>
      <c r="M792" s="98"/>
      <c r="N792" s="99"/>
      <c r="O792" s="98"/>
      <c r="P792" s="98"/>
      <c r="Q792" s="99"/>
    </row>
    <row r="793" spans="1:17" ht="14.45" customHeight="1">
      <c r="A793" s="75">
        <v>114</v>
      </c>
      <c r="B793" s="76"/>
      <c r="C793" s="106" t="s">
        <v>360</v>
      </c>
      <c r="D793" s="106" t="s">
        <v>180</v>
      </c>
      <c r="E793" s="78" t="s">
        <v>341</v>
      </c>
      <c r="F793" s="79" t="s">
        <v>50</v>
      </c>
      <c r="G793" s="79" t="s">
        <v>50</v>
      </c>
      <c r="H793" s="80" t="s">
        <v>50</v>
      </c>
      <c r="I793" s="79"/>
      <c r="J793" s="79"/>
      <c r="K793" s="80"/>
      <c r="L793" s="79"/>
      <c r="M793" s="79"/>
      <c r="N793" s="80"/>
      <c r="O793" s="79"/>
      <c r="P793" s="79"/>
      <c r="Q793" s="80"/>
    </row>
    <row r="794" spans="1:17" ht="60" customHeight="1">
      <c r="A794" s="81">
        <v>114</v>
      </c>
      <c r="B794" s="82"/>
      <c r="C794" s="107" t="s">
        <v>360</v>
      </c>
      <c r="D794" s="107" t="s">
        <v>180</v>
      </c>
      <c r="E794" s="84" t="s">
        <v>341</v>
      </c>
      <c r="F794" s="85"/>
      <c r="G794" s="86"/>
      <c r="H794" s="87"/>
      <c r="I794" s="86"/>
      <c r="J794" s="86"/>
      <c r="K794" s="87"/>
      <c r="L794" s="86"/>
      <c r="M794" s="86"/>
      <c r="N794" s="87"/>
      <c r="O794" s="86"/>
      <c r="P794" s="86"/>
      <c r="Q794" s="87"/>
    </row>
    <row r="795" spans="1:17" ht="45" customHeight="1">
      <c r="A795" s="81">
        <v>114</v>
      </c>
      <c r="B795" s="82"/>
      <c r="C795" s="107" t="s">
        <v>360</v>
      </c>
      <c r="D795" s="107" t="s">
        <v>180</v>
      </c>
      <c r="E795" s="84" t="s">
        <v>341</v>
      </c>
      <c r="F795" s="85"/>
      <c r="G795" s="85"/>
      <c r="H795" s="88"/>
      <c r="I795" s="86"/>
      <c r="J795" s="86"/>
      <c r="K795" s="87"/>
      <c r="L795" s="86"/>
      <c r="M795" s="86"/>
      <c r="N795" s="87"/>
      <c r="O795" s="86"/>
      <c r="P795" s="86"/>
      <c r="Q795" s="87"/>
    </row>
    <row r="796" spans="1:17" ht="14.45" customHeight="1">
      <c r="A796" s="81">
        <v>114</v>
      </c>
      <c r="B796" s="82"/>
      <c r="C796" s="107" t="s">
        <v>360</v>
      </c>
      <c r="D796" s="107" t="s">
        <v>180</v>
      </c>
      <c r="E796" s="84" t="s">
        <v>341</v>
      </c>
      <c r="F796" s="89">
        <v>17</v>
      </c>
      <c r="G796" s="89">
        <v>21</v>
      </c>
      <c r="H796" s="90">
        <v>18</v>
      </c>
      <c r="I796" s="86"/>
      <c r="J796" s="86"/>
      <c r="K796" s="87"/>
      <c r="L796" s="86"/>
      <c r="M796" s="86"/>
      <c r="N796" s="87"/>
      <c r="O796" s="86"/>
      <c r="P796" s="86"/>
      <c r="Q796" s="87"/>
    </row>
    <row r="797" spans="1:17" ht="45" customHeight="1">
      <c r="A797" s="81">
        <v>114</v>
      </c>
      <c r="B797" s="82"/>
      <c r="C797" s="107" t="s">
        <v>360</v>
      </c>
      <c r="D797" s="107" t="s">
        <v>180</v>
      </c>
      <c r="E797" s="84" t="s">
        <v>341</v>
      </c>
      <c r="F797" s="85"/>
      <c r="G797" s="85"/>
      <c r="H797" s="88"/>
      <c r="I797" s="86"/>
      <c r="J797" s="86"/>
      <c r="K797" s="87"/>
      <c r="L797" s="86"/>
      <c r="M797" s="86"/>
      <c r="N797" s="87"/>
      <c r="O797" s="86"/>
      <c r="P797" s="86"/>
      <c r="Q797" s="87"/>
    </row>
    <row r="798" spans="1:17" ht="14.45" customHeight="1">
      <c r="A798" s="81">
        <v>114</v>
      </c>
      <c r="B798" s="82"/>
      <c r="C798" s="107" t="s">
        <v>360</v>
      </c>
      <c r="D798" s="107" t="s">
        <v>180</v>
      </c>
      <c r="E798" s="84" t="s">
        <v>341</v>
      </c>
      <c r="F798" s="85"/>
      <c r="G798" s="85"/>
      <c r="H798" s="88"/>
      <c r="I798" s="86"/>
      <c r="J798" s="86"/>
      <c r="K798" s="87"/>
      <c r="L798" s="86"/>
      <c r="M798" s="86"/>
      <c r="N798" s="87"/>
      <c r="O798" s="86"/>
      <c r="P798" s="86"/>
      <c r="Q798" s="87"/>
    </row>
    <row r="799" spans="1:17" ht="24" customHeight="1">
      <c r="A799" s="91">
        <v>114</v>
      </c>
      <c r="B799" s="92"/>
      <c r="C799" s="108" t="s">
        <v>360</v>
      </c>
      <c r="D799" s="108" t="s">
        <v>180</v>
      </c>
      <c r="E799" s="94" t="s">
        <v>341</v>
      </c>
      <c r="F799" s="95" t="s">
        <v>56</v>
      </c>
      <c r="G799" s="96">
        <v>2370</v>
      </c>
      <c r="H799" s="97">
        <v>2370</v>
      </c>
      <c r="I799" s="98"/>
      <c r="J799" s="98"/>
      <c r="K799" s="99"/>
      <c r="L799" s="98"/>
      <c r="M799" s="98"/>
      <c r="N799" s="99"/>
      <c r="O799" s="98"/>
      <c r="P799" s="98"/>
      <c r="Q799" s="99"/>
    </row>
    <row r="800" spans="1:17" ht="14.45" customHeight="1">
      <c r="A800" s="75">
        <v>115</v>
      </c>
      <c r="B800" s="76"/>
      <c r="C800" s="106" t="s">
        <v>387</v>
      </c>
      <c r="D800" s="106" t="s">
        <v>180</v>
      </c>
      <c r="E800" s="78" t="s">
        <v>371</v>
      </c>
      <c r="F800" s="79" t="s">
        <v>50</v>
      </c>
      <c r="G800" s="79" t="s">
        <v>50</v>
      </c>
      <c r="H800" s="80" t="s">
        <v>50</v>
      </c>
      <c r="I800" s="79"/>
      <c r="J800" s="79"/>
      <c r="K800" s="80"/>
      <c r="L800" s="79"/>
      <c r="M800" s="79"/>
      <c r="N800" s="80"/>
      <c r="O800" s="79"/>
      <c r="P800" s="79"/>
      <c r="Q800" s="80"/>
    </row>
    <row r="801" spans="1:17" ht="60" customHeight="1">
      <c r="A801" s="81">
        <v>115</v>
      </c>
      <c r="B801" s="82"/>
      <c r="C801" s="107" t="s">
        <v>387</v>
      </c>
      <c r="D801" s="107" t="s">
        <v>180</v>
      </c>
      <c r="E801" s="84" t="s">
        <v>371</v>
      </c>
      <c r="F801" s="85"/>
      <c r="G801" s="86"/>
      <c r="H801" s="87"/>
      <c r="I801" s="86"/>
      <c r="J801" s="86"/>
      <c r="K801" s="87"/>
      <c r="L801" s="86"/>
      <c r="M801" s="86"/>
      <c r="N801" s="87"/>
      <c r="O801" s="86"/>
      <c r="P801" s="86"/>
      <c r="Q801" s="87"/>
    </row>
    <row r="802" spans="1:17" ht="45" customHeight="1">
      <c r="A802" s="81">
        <v>115</v>
      </c>
      <c r="B802" s="82"/>
      <c r="C802" s="107" t="s">
        <v>387</v>
      </c>
      <c r="D802" s="107" t="s">
        <v>180</v>
      </c>
      <c r="E802" s="84" t="s">
        <v>371</v>
      </c>
      <c r="F802" s="85"/>
      <c r="G802" s="85"/>
      <c r="H802" s="88"/>
      <c r="I802" s="86"/>
      <c r="J802" s="86"/>
      <c r="K802" s="87"/>
      <c r="L802" s="86"/>
      <c r="M802" s="86"/>
      <c r="N802" s="87"/>
      <c r="O802" s="86"/>
      <c r="P802" s="86"/>
      <c r="Q802" s="87"/>
    </row>
    <row r="803" spans="1:17" ht="14.45" customHeight="1">
      <c r="A803" s="81">
        <v>115</v>
      </c>
      <c r="B803" s="82"/>
      <c r="C803" s="107" t="s">
        <v>387</v>
      </c>
      <c r="D803" s="107" t="s">
        <v>180</v>
      </c>
      <c r="E803" s="84" t="s">
        <v>371</v>
      </c>
      <c r="F803" s="89">
        <v>17</v>
      </c>
      <c r="G803" s="89">
        <v>31</v>
      </c>
      <c r="H803" s="88"/>
      <c r="I803" s="86"/>
      <c r="J803" s="86"/>
      <c r="K803" s="87"/>
      <c r="L803" s="86"/>
      <c r="M803" s="86"/>
      <c r="N803" s="87"/>
      <c r="O803" s="86"/>
      <c r="P803" s="86"/>
      <c r="Q803" s="87"/>
    </row>
    <row r="804" spans="1:17" ht="45" customHeight="1">
      <c r="A804" s="81">
        <v>115</v>
      </c>
      <c r="B804" s="82"/>
      <c r="C804" s="107" t="s">
        <v>387</v>
      </c>
      <c r="D804" s="107" t="s">
        <v>180</v>
      </c>
      <c r="E804" s="84" t="s">
        <v>371</v>
      </c>
      <c r="F804" s="85"/>
      <c r="G804" s="85"/>
      <c r="H804" s="88"/>
      <c r="I804" s="86"/>
      <c r="J804" s="86"/>
      <c r="K804" s="87"/>
      <c r="L804" s="86"/>
      <c r="M804" s="86"/>
      <c r="N804" s="87"/>
      <c r="O804" s="86"/>
      <c r="P804" s="86"/>
      <c r="Q804" s="87"/>
    </row>
    <row r="805" spans="1:17" ht="14.45" customHeight="1">
      <c r="A805" s="81">
        <v>115</v>
      </c>
      <c r="B805" s="82"/>
      <c r="C805" s="107" t="s">
        <v>387</v>
      </c>
      <c r="D805" s="107" t="s">
        <v>180</v>
      </c>
      <c r="E805" s="84" t="s">
        <v>371</v>
      </c>
      <c r="F805" s="85"/>
      <c r="G805" s="85"/>
      <c r="H805" s="88"/>
      <c r="I805" s="86"/>
      <c r="J805" s="86"/>
      <c r="K805" s="87"/>
      <c r="L805" s="86"/>
      <c r="M805" s="86"/>
      <c r="N805" s="87"/>
      <c r="O805" s="86"/>
      <c r="P805" s="86"/>
      <c r="Q805" s="87"/>
    </row>
    <row r="806" spans="1:17" ht="24" customHeight="1">
      <c r="A806" s="91">
        <v>115</v>
      </c>
      <c r="B806" s="92"/>
      <c r="C806" s="108" t="s">
        <v>387</v>
      </c>
      <c r="D806" s="108" t="s">
        <v>180</v>
      </c>
      <c r="E806" s="94" t="s">
        <v>371</v>
      </c>
      <c r="F806" s="95" t="s">
        <v>56</v>
      </c>
      <c r="G806" s="96">
        <v>2140</v>
      </c>
      <c r="H806" s="97">
        <v>2140</v>
      </c>
      <c r="I806" s="98"/>
      <c r="J806" s="98"/>
      <c r="K806" s="99"/>
      <c r="L806" s="98"/>
      <c r="M806" s="98"/>
      <c r="N806" s="99"/>
      <c r="O806" s="98"/>
      <c r="P806" s="98"/>
      <c r="Q806" s="99"/>
    </row>
    <row r="807" spans="1:17" ht="14.45" customHeight="1">
      <c r="A807" s="75">
        <v>116</v>
      </c>
      <c r="B807" s="76"/>
      <c r="C807" s="106" t="s">
        <v>377</v>
      </c>
      <c r="D807" s="106" t="s">
        <v>180</v>
      </c>
      <c r="E807" s="78" t="s">
        <v>331</v>
      </c>
      <c r="F807" s="79" t="s">
        <v>50</v>
      </c>
      <c r="G807" s="79" t="s">
        <v>50</v>
      </c>
      <c r="H807" s="80" t="s">
        <v>50</v>
      </c>
      <c r="I807" s="79"/>
      <c r="J807" s="79"/>
      <c r="K807" s="80"/>
      <c r="L807" s="79"/>
      <c r="M807" s="79"/>
      <c r="N807" s="80"/>
      <c r="O807" s="79"/>
      <c r="P807" s="79"/>
      <c r="Q807" s="80"/>
    </row>
    <row r="808" spans="1:17" ht="60" customHeight="1">
      <c r="A808" s="81">
        <v>116</v>
      </c>
      <c r="B808" s="82"/>
      <c r="C808" s="107" t="s">
        <v>377</v>
      </c>
      <c r="D808" s="107" t="s">
        <v>180</v>
      </c>
      <c r="E808" s="84" t="s">
        <v>331</v>
      </c>
      <c r="F808" s="85"/>
      <c r="G808" s="86"/>
      <c r="H808" s="87"/>
      <c r="I808" s="86"/>
      <c r="J808" s="86"/>
      <c r="K808" s="87"/>
      <c r="L808" s="86"/>
      <c r="M808" s="86"/>
      <c r="N808" s="87"/>
      <c r="O808" s="86"/>
      <c r="P808" s="86"/>
      <c r="Q808" s="87"/>
    </row>
    <row r="809" spans="1:17" ht="45" customHeight="1">
      <c r="A809" s="81">
        <v>116</v>
      </c>
      <c r="B809" s="82"/>
      <c r="C809" s="107" t="s">
        <v>377</v>
      </c>
      <c r="D809" s="107" t="s">
        <v>180</v>
      </c>
      <c r="E809" s="84" t="s">
        <v>331</v>
      </c>
      <c r="F809" s="85"/>
      <c r="G809" s="85"/>
      <c r="H809" s="88"/>
      <c r="I809" s="86"/>
      <c r="J809" s="86"/>
      <c r="K809" s="87"/>
      <c r="L809" s="86"/>
      <c r="M809" s="86"/>
      <c r="N809" s="87"/>
      <c r="O809" s="86"/>
      <c r="P809" s="86"/>
      <c r="Q809" s="87"/>
    </row>
    <row r="810" spans="1:17" ht="14.45" customHeight="1">
      <c r="A810" s="81">
        <v>116</v>
      </c>
      <c r="B810" s="82"/>
      <c r="C810" s="107" t="s">
        <v>377</v>
      </c>
      <c r="D810" s="107" t="s">
        <v>180</v>
      </c>
      <c r="E810" s="84" t="s">
        <v>331</v>
      </c>
      <c r="F810" s="89">
        <v>18</v>
      </c>
      <c r="G810" s="89">
        <v>15</v>
      </c>
      <c r="H810" s="90">
        <v>9</v>
      </c>
      <c r="I810" s="86"/>
      <c r="J810" s="86"/>
      <c r="K810" s="87"/>
      <c r="L810" s="86"/>
      <c r="M810" s="86"/>
      <c r="N810" s="87"/>
      <c r="O810" s="86"/>
      <c r="P810" s="86"/>
      <c r="Q810" s="87"/>
    </row>
    <row r="811" spans="1:17" ht="45" customHeight="1">
      <c r="A811" s="81">
        <v>116</v>
      </c>
      <c r="B811" s="82"/>
      <c r="C811" s="107" t="s">
        <v>377</v>
      </c>
      <c r="D811" s="107" t="s">
        <v>180</v>
      </c>
      <c r="E811" s="84" t="s">
        <v>331</v>
      </c>
      <c r="F811" s="85"/>
      <c r="G811" s="85"/>
      <c r="H811" s="88"/>
      <c r="I811" s="86"/>
      <c r="J811" s="86"/>
      <c r="K811" s="87"/>
      <c r="L811" s="86"/>
      <c r="M811" s="86"/>
      <c r="N811" s="87"/>
      <c r="O811" s="86"/>
      <c r="P811" s="86"/>
      <c r="Q811" s="87"/>
    </row>
    <row r="812" spans="1:17" ht="14.45" customHeight="1">
      <c r="A812" s="81">
        <v>116</v>
      </c>
      <c r="B812" s="82"/>
      <c r="C812" s="107" t="s">
        <v>377</v>
      </c>
      <c r="D812" s="107" t="s">
        <v>180</v>
      </c>
      <c r="E812" s="84" t="s">
        <v>331</v>
      </c>
      <c r="F812" s="85"/>
      <c r="G812" s="85"/>
      <c r="H812" s="88"/>
      <c r="I812" s="86"/>
      <c r="J812" s="86"/>
      <c r="K812" s="87"/>
      <c r="L812" s="86"/>
      <c r="M812" s="86"/>
      <c r="N812" s="87"/>
      <c r="O812" s="86"/>
      <c r="P812" s="86"/>
      <c r="Q812" s="87"/>
    </row>
    <row r="813" spans="1:17" ht="24" customHeight="1">
      <c r="A813" s="91">
        <v>116</v>
      </c>
      <c r="B813" s="92"/>
      <c r="C813" s="108" t="s">
        <v>377</v>
      </c>
      <c r="D813" s="108" t="s">
        <v>180</v>
      </c>
      <c r="E813" s="94" t="s">
        <v>331</v>
      </c>
      <c r="F813" s="95" t="s">
        <v>56</v>
      </c>
      <c r="G813" s="96">
        <v>1900</v>
      </c>
      <c r="H813" s="97">
        <v>1900</v>
      </c>
      <c r="I813" s="98"/>
      <c r="J813" s="98"/>
      <c r="K813" s="99"/>
      <c r="L813" s="98"/>
      <c r="M813" s="98"/>
      <c r="N813" s="99"/>
      <c r="O813" s="98"/>
      <c r="P813" s="98"/>
      <c r="Q813" s="99"/>
    </row>
    <row r="814" spans="1:17" ht="14.45" customHeight="1">
      <c r="A814" s="75">
        <v>117</v>
      </c>
      <c r="B814" s="76"/>
      <c r="C814" s="106" t="s">
        <v>378</v>
      </c>
      <c r="D814" s="106" t="s">
        <v>180</v>
      </c>
      <c r="E814" s="78" t="s">
        <v>331</v>
      </c>
      <c r="F814" s="79" t="s">
        <v>50</v>
      </c>
      <c r="G814" s="79" t="s">
        <v>50</v>
      </c>
      <c r="H814" s="80" t="s">
        <v>50</v>
      </c>
      <c r="I814" s="79"/>
      <c r="J814" s="79"/>
      <c r="K814" s="80"/>
      <c r="L814" s="79"/>
      <c r="M814" s="79"/>
      <c r="N814" s="80"/>
      <c r="O814" s="79"/>
      <c r="P814" s="79"/>
      <c r="Q814" s="80"/>
    </row>
    <row r="815" spans="1:17" ht="60" customHeight="1">
      <c r="A815" s="81">
        <v>117</v>
      </c>
      <c r="B815" s="82"/>
      <c r="C815" s="107" t="s">
        <v>378</v>
      </c>
      <c r="D815" s="107" t="s">
        <v>180</v>
      </c>
      <c r="E815" s="84" t="s">
        <v>331</v>
      </c>
      <c r="F815" s="85"/>
      <c r="G815" s="86"/>
      <c r="H815" s="87"/>
      <c r="I815" s="86"/>
      <c r="J815" s="86"/>
      <c r="K815" s="87"/>
      <c r="L815" s="86"/>
      <c r="M815" s="86"/>
      <c r="N815" s="87"/>
      <c r="O815" s="86"/>
      <c r="P815" s="86"/>
      <c r="Q815" s="87"/>
    </row>
    <row r="816" spans="1:17" ht="45" customHeight="1">
      <c r="A816" s="81">
        <v>117</v>
      </c>
      <c r="B816" s="82"/>
      <c r="C816" s="107" t="s">
        <v>378</v>
      </c>
      <c r="D816" s="107" t="s">
        <v>180</v>
      </c>
      <c r="E816" s="84" t="s">
        <v>331</v>
      </c>
      <c r="F816" s="85"/>
      <c r="G816" s="85"/>
      <c r="H816" s="88"/>
      <c r="I816" s="86"/>
      <c r="J816" s="86"/>
      <c r="K816" s="87"/>
      <c r="L816" s="86"/>
      <c r="M816" s="86"/>
      <c r="N816" s="87"/>
      <c r="O816" s="86"/>
      <c r="P816" s="86"/>
      <c r="Q816" s="87"/>
    </row>
    <row r="817" spans="1:17" ht="14.45" customHeight="1">
      <c r="A817" s="81">
        <v>117</v>
      </c>
      <c r="B817" s="82"/>
      <c r="C817" s="107" t="s">
        <v>378</v>
      </c>
      <c r="D817" s="107" t="s">
        <v>180</v>
      </c>
      <c r="E817" s="84" t="s">
        <v>331</v>
      </c>
      <c r="F817" s="89">
        <v>18</v>
      </c>
      <c r="G817" s="89">
        <v>15</v>
      </c>
      <c r="H817" s="90">
        <v>9</v>
      </c>
      <c r="I817" s="86"/>
      <c r="J817" s="86"/>
      <c r="K817" s="87"/>
      <c r="L817" s="86"/>
      <c r="M817" s="86"/>
      <c r="N817" s="87"/>
      <c r="O817" s="86"/>
      <c r="P817" s="86"/>
      <c r="Q817" s="87"/>
    </row>
    <row r="818" spans="1:17" ht="45" customHeight="1">
      <c r="A818" s="81">
        <v>117</v>
      </c>
      <c r="B818" s="82"/>
      <c r="C818" s="107" t="s">
        <v>378</v>
      </c>
      <c r="D818" s="107" t="s">
        <v>180</v>
      </c>
      <c r="E818" s="84" t="s">
        <v>331</v>
      </c>
      <c r="F818" s="85"/>
      <c r="G818" s="85"/>
      <c r="H818" s="88"/>
      <c r="I818" s="86"/>
      <c r="J818" s="86"/>
      <c r="K818" s="87"/>
      <c r="L818" s="86"/>
      <c r="M818" s="86"/>
      <c r="N818" s="87"/>
      <c r="O818" s="86"/>
      <c r="P818" s="86"/>
      <c r="Q818" s="87"/>
    </row>
    <row r="819" spans="1:17" ht="14.45" customHeight="1">
      <c r="A819" s="81">
        <v>117</v>
      </c>
      <c r="B819" s="82"/>
      <c r="C819" s="107" t="s">
        <v>378</v>
      </c>
      <c r="D819" s="107" t="s">
        <v>180</v>
      </c>
      <c r="E819" s="84" t="s">
        <v>331</v>
      </c>
      <c r="F819" s="85"/>
      <c r="G819" s="85"/>
      <c r="H819" s="88"/>
      <c r="I819" s="86"/>
      <c r="J819" s="86"/>
      <c r="K819" s="87"/>
      <c r="L819" s="86"/>
      <c r="M819" s="86"/>
      <c r="N819" s="87"/>
      <c r="O819" s="86"/>
      <c r="P819" s="86"/>
      <c r="Q819" s="87"/>
    </row>
    <row r="820" spans="1:17" ht="24" customHeight="1">
      <c r="A820" s="91">
        <v>117</v>
      </c>
      <c r="B820" s="92"/>
      <c r="C820" s="108" t="s">
        <v>378</v>
      </c>
      <c r="D820" s="108" t="s">
        <v>180</v>
      </c>
      <c r="E820" s="94" t="s">
        <v>331</v>
      </c>
      <c r="F820" s="95" t="s">
        <v>56</v>
      </c>
      <c r="G820" s="96">
        <v>1900</v>
      </c>
      <c r="H820" s="97">
        <v>1900</v>
      </c>
      <c r="I820" s="98"/>
      <c r="J820" s="98"/>
      <c r="K820" s="99"/>
      <c r="L820" s="98"/>
      <c r="M820" s="98"/>
      <c r="N820" s="99"/>
      <c r="O820" s="98"/>
      <c r="P820" s="98"/>
      <c r="Q820" s="99"/>
    </row>
    <row r="821" spans="1:17" ht="14.45" customHeight="1">
      <c r="A821" s="75">
        <v>118</v>
      </c>
      <c r="B821" s="76"/>
      <c r="C821" s="106" t="s">
        <v>379</v>
      </c>
      <c r="D821" s="106" t="s">
        <v>180</v>
      </c>
      <c r="E821" s="78" t="s">
        <v>331</v>
      </c>
      <c r="F821" s="79" t="s">
        <v>50</v>
      </c>
      <c r="G821" s="79" t="s">
        <v>50</v>
      </c>
      <c r="H821" s="80" t="s">
        <v>50</v>
      </c>
      <c r="I821" s="79"/>
      <c r="J821" s="79"/>
      <c r="K821" s="80"/>
      <c r="L821" s="79"/>
      <c r="M821" s="79"/>
      <c r="N821" s="80"/>
      <c r="O821" s="79"/>
      <c r="P821" s="79"/>
      <c r="Q821" s="80"/>
    </row>
    <row r="822" spans="1:17" ht="60" customHeight="1">
      <c r="A822" s="81">
        <v>118</v>
      </c>
      <c r="B822" s="82"/>
      <c r="C822" s="107" t="s">
        <v>379</v>
      </c>
      <c r="D822" s="107" t="s">
        <v>180</v>
      </c>
      <c r="E822" s="84" t="s">
        <v>331</v>
      </c>
      <c r="F822" s="85"/>
      <c r="G822" s="86"/>
      <c r="H822" s="87"/>
      <c r="I822" s="86"/>
      <c r="J822" s="86"/>
      <c r="K822" s="87"/>
      <c r="L822" s="86"/>
      <c r="M822" s="86"/>
      <c r="N822" s="87"/>
      <c r="O822" s="86"/>
      <c r="P822" s="86"/>
      <c r="Q822" s="87"/>
    </row>
    <row r="823" spans="1:17" ht="45" customHeight="1">
      <c r="A823" s="81">
        <v>118</v>
      </c>
      <c r="B823" s="82"/>
      <c r="C823" s="107" t="s">
        <v>379</v>
      </c>
      <c r="D823" s="107" t="s">
        <v>180</v>
      </c>
      <c r="E823" s="84" t="s">
        <v>331</v>
      </c>
      <c r="F823" s="85"/>
      <c r="G823" s="85"/>
      <c r="H823" s="88"/>
      <c r="I823" s="86"/>
      <c r="J823" s="86"/>
      <c r="K823" s="87"/>
      <c r="L823" s="86"/>
      <c r="M823" s="86"/>
      <c r="N823" s="87"/>
      <c r="O823" s="86"/>
      <c r="P823" s="86"/>
      <c r="Q823" s="87"/>
    </row>
    <row r="824" spans="1:17" ht="14.45" customHeight="1">
      <c r="A824" s="81">
        <v>118</v>
      </c>
      <c r="B824" s="82"/>
      <c r="C824" s="107" t="s">
        <v>379</v>
      </c>
      <c r="D824" s="107" t="s">
        <v>180</v>
      </c>
      <c r="E824" s="84" t="s">
        <v>331</v>
      </c>
      <c r="F824" s="89">
        <v>18</v>
      </c>
      <c r="G824" s="89">
        <v>15</v>
      </c>
      <c r="H824" s="90">
        <v>9</v>
      </c>
      <c r="I824" s="86"/>
      <c r="J824" s="86"/>
      <c r="K824" s="87"/>
      <c r="L824" s="86"/>
      <c r="M824" s="86"/>
      <c r="N824" s="87"/>
      <c r="O824" s="86"/>
      <c r="P824" s="86"/>
      <c r="Q824" s="87"/>
    </row>
    <row r="825" spans="1:17" ht="45" customHeight="1">
      <c r="A825" s="81">
        <v>118</v>
      </c>
      <c r="B825" s="82"/>
      <c r="C825" s="107" t="s">
        <v>379</v>
      </c>
      <c r="D825" s="107" t="s">
        <v>180</v>
      </c>
      <c r="E825" s="84" t="s">
        <v>331</v>
      </c>
      <c r="F825" s="85"/>
      <c r="G825" s="85"/>
      <c r="H825" s="88"/>
      <c r="I825" s="86"/>
      <c r="J825" s="86"/>
      <c r="K825" s="87"/>
      <c r="L825" s="86"/>
      <c r="M825" s="86"/>
      <c r="N825" s="87"/>
      <c r="O825" s="86"/>
      <c r="P825" s="86"/>
      <c r="Q825" s="87"/>
    </row>
    <row r="826" spans="1:17" ht="14.45" customHeight="1">
      <c r="A826" s="81">
        <v>118</v>
      </c>
      <c r="B826" s="82"/>
      <c r="C826" s="107" t="s">
        <v>379</v>
      </c>
      <c r="D826" s="107" t="s">
        <v>180</v>
      </c>
      <c r="E826" s="84" t="s">
        <v>331</v>
      </c>
      <c r="F826" s="85"/>
      <c r="G826" s="85"/>
      <c r="H826" s="88"/>
      <c r="I826" s="86"/>
      <c r="J826" s="86"/>
      <c r="K826" s="87"/>
      <c r="L826" s="86"/>
      <c r="M826" s="86"/>
      <c r="N826" s="87"/>
      <c r="O826" s="86"/>
      <c r="P826" s="86"/>
      <c r="Q826" s="87"/>
    </row>
    <row r="827" spans="1:17" ht="24" customHeight="1">
      <c r="A827" s="91">
        <v>118</v>
      </c>
      <c r="B827" s="92"/>
      <c r="C827" s="108" t="s">
        <v>379</v>
      </c>
      <c r="D827" s="108" t="s">
        <v>180</v>
      </c>
      <c r="E827" s="94" t="s">
        <v>331</v>
      </c>
      <c r="F827" s="95" t="s">
        <v>56</v>
      </c>
      <c r="G827" s="96">
        <v>1900</v>
      </c>
      <c r="H827" s="97">
        <v>1900</v>
      </c>
      <c r="I827" s="98"/>
      <c r="J827" s="98"/>
      <c r="K827" s="99"/>
      <c r="L827" s="98"/>
      <c r="M827" s="98"/>
      <c r="N827" s="99"/>
      <c r="O827" s="98"/>
      <c r="P827" s="98"/>
      <c r="Q827" s="99"/>
    </row>
    <row r="828" spans="1:17" ht="14.45" customHeight="1">
      <c r="A828" s="75">
        <v>119</v>
      </c>
      <c r="B828" s="76"/>
      <c r="C828" s="106" t="s">
        <v>380</v>
      </c>
      <c r="D828" s="106" t="s">
        <v>180</v>
      </c>
      <c r="E828" s="78" t="s">
        <v>286</v>
      </c>
      <c r="F828" s="79" t="s">
        <v>50</v>
      </c>
      <c r="G828" s="79" t="s">
        <v>50</v>
      </c>
      <c r="H828" s="80" t="s">
        <v>50</v>
      </c>
      <c r="I828" s="79"/>
      <c r="J828" s="79"/>
      <c r="K828" s="80"/>
      <c r="L828" s="79"/>
      <c r="M828" s="79"/>
      <c r="N828" s="80"/>
      <c r="O828" s="79"/>
      <c r="P828" s="79"/>
      <c r="Q828" s="80"/>
    </row>
    <row r="829" spans="1:17" ht="60" customHeight="1">
      <c r="A829" s="81">
        <v>119</v>
      </c>
      <c r="B829" s="82"/>
      <c r="C829" s="107" t="s">
        <v>380</v>
      </c>
      <c r="D829" s="107" t="s">
        <v>180</v>
      </c>
      <c r="E829" s="84" t="s">
        <v>286</v>
      </c>
      <c r="F829" s="85"/>
      <c r="G829" s="86"/>
      <c r="H829" s="87"/>
      <c r="I829" s="86"/>
      <c r="J829" s="86"/>
      <c r="K829" s="87"/>
      <c r="L829" s="86"/>
      <c r="M829" s="86"/>
      <c r="N829" s="87"/>
      <c r="O829" s="86"/>
      <c r="P829" s="86"/>
      <c r="Q829" s="87"/>
    </row>
    <row r="830" spans="1:17" ht="45" customHeight="1">
      <c r="A830" s="81">
        <v>119</v>
      </c>
      <c r="B830" s="82"/>
      <c r="C830" s="107" t="s">
        <v>380</v>
      </c>
      <c r="D830" s="107" t="s">
        <v>180</v>
      </c>
      <c r="E830" s="84" t="s">
        <v>286</v>
      </c>
      <c r="F830" s="85"/>
      <c r="G830" s="85"/>
      <c r="H830" s="88"/>
      <c r="I830" s="86"/>
      <c r="J830" s="86"/>
      <c r="K830" s="87"/>
      <c r="L830" s="86"/>
      <c r="M830" s="86"/>
      <c r="N830" s="87"/>
      <c r="O830" s="86"/>
      <c r="P830" s="86"/>
      <c r="Q830" s="87"/>
    </row>
    <row r="831" spans="1:17" ht="14.45" customHeight="1">
      <c r="A831" s="81">
        <v>119</v>
      </c>
      <c r="B831" s="82"/>
      <c r="C831" s="107" t="s">
        <v>380</v>
      </c>
      <c r="D831" s="107" t="s">
        <v>180</v>
      </c>
      <c r="E831" s="84" t="s">
        <v>286</v>
      </c>
      <c r="F831" s="89">
        <v>16</v>
      </c>
      <c r="G831" s="89">
        <v>16</v>
      </c>
      <c r="H831" s="90">
        <v>10</v>
      </c>
      <c r="I831" s="86"/>
      <c r="J831" s="86"/>
      <c r="K831" s="87"/>
      <c r="L831" s="86"/>
      <c r="M831" s="86"/>
      <c r="N831" s="87"/>
      <c r="O831" s="86"/>
      <c r="P831" s="86"/>
      <c r="Q831" s="87"/>
    </row>
    <row r="832" spans="1:17" ht="45" customHeight="1">
      <c r="A832" s="81">
        <v>119</v>
      </c>
      <c r="B832" s="82"/>
      <c r="C832" s="107" t="s">
        <v>380</v>
      </c>
      <c r="D832" s="107" t="s">
        <v>180</v>
      </c>
      <c r="E832" s="84" t="s">
        <v>286</v>
      </c>
      <c r="F832" s="85"/>
      <c r="G832" s="85"/>
      <c r="H832" s="88"/>
      <c r="I832" s="86"/>
      <c r="J832" s="86"/>
      <c r="K832" s="87"/>
      <c r="L832" s="86"/>
      <c r="M832" s="86"/>
      <c r="N832" s="87"/>
      <c r="O832" s="86"/>
      <c r="P832" s="86"/>
      <c r="Q832" s="87"/>
    </row>
    <row r="833" spans="1:17" ht="14.45" customHeight="1">
      <c r="A833" s="81">
        <v>119</v>
      </c>
      <c r="B833" s="82"/>
      <c r="C833" s="107" t="s">
        <v>380</v>
      </c>
      <c r="D833" s="107" t="s">
        <v>180</v>
      </c>
      <c r="E833" s="84" t="s">
        <v>286</v>
      </c>
      <c r="F833" s="85"/>
      <c r="G833" s="85"/>
      <c r="H833" s="88"/>
      <c r="I833" s="86"/>
      <c r="J833" s="86"/>
      <c r="K833" s="87"/>
      <c r="L833" s="86"/>
      <c r="M833" s="86"/>
      <c r="N833" s="87"/>
      <c r="O833" s="86"/>
      <c r="P833" s="86"/>
      <c r="Q833" s="87"/>
    </row>
    <row r="834" spans="1:17" ht="24" customHeight="1">
      <c r="A834" s="91">
        <v>119</v>
      </c>
      <c r="B834" s="92"/>
      <c r="C834" s="108" t="s">
        <v>380</v>
      </c>
      <c r="D834" s="108" t="s">
        <v>180</v>
      </c>
      <c r="E834" s="94" t="s">
        <v>286</v>
      </c>
      <c r="F834" s="95" t="s">
        <v>56</v>
      </c>
      <c r="G834" s="96">
        <v>1920</v>
      </c>
      <c r="H834" s="97">
        <v>1920</v>
      </c>
      <c r="I834" s="98"/>
      <c r="J834" s="98"/>
      <c r="K834" s="99"/>
      <c r="L834" s="98"/>
      <c r="M834" s="98"/>
      <c r="N834" s="99"/>
      <c r="O834" s="98"/>
      <c r="P834" s="98"/>
      <c r="Q834" s="99"/>
    </row>
    <row r="835" spans="1:17" ht="14.45" customHeight="1">
      <c r="A835" s="75">
        <v>120</v>
      </c>
      <c r="B835" s="76"/>
      <c r="C835" s="106" t="s">
        <v>357</v>
      </c>
      <c r="D835" s="106" t="s">
        <v>180</v>
      </c>
      <c r="E835" s="78" t="s">
        <v>341</v>
      </c>
      <c r="F835" s="79" t="s">
        <v>50</v>
      </c>
      <c r="G835" s="79" t="s">
        <v>50</v>
      </c>
      <c r="H835" s="80" t="s">
        <v>50</v>
      </c>
      <c r="I835" s="79"/>
      <c r="J835" s="79"/>
      <c r="K835" s="80"/>
      <c r="L835" s="79"/>
      <c r="M835" s="79"/>
      <c r="N835" s="80"/>
      <c r="O835" s="79"/>
      <c r="P835" s="79"/>
      <c r="Q835" s="80"/>
    </row>
    <row r="836" spans="1:17" ht="60" customHeight="1">
      <c r="A836" s="81">
        <v>120</v>
      </c>
      <c r="B836" s="82"/>
      <c r="C836" s="107" t="s">
        <v>357</v>
      </c>
      <c r="D836" s="107" t="s">
        <v>180</v>
      </c>
      <c r="E836" s="84" t="s">
        <v>341</v>
      </c>
      <c r="F836" s="85"/>
      <c r="G836" s="86"/>
      <c r="H836" s="87"/>
      <c r="I836" s="86"/>
      <c r="J836" s="86"/>
      <c r="K836" s="87"/>
      <c r="L836" s="86"/>
      <c r="M836" s="86"/>
      <c r="N836" s="87"/>
      <c r="O836" s="86"/>
      <c r="P836" s="86"/>
      <c r="Q836" s="87"/>
    </row>
    <row r="837" spans="1:17" ht="45" customHeight="1">
      <c r="A837" s="81">
        <v>120</v>
      </c>
      <c r="B837" s="82"/>
      <c r="C837" s="107" t="s">
        <v>357</v>
      </c>
      <c r="D837" s="107" t="s">
        <v>180</v>
      </c>
      <c r="E837" s="84" t="s">
        <v>341</v>
      </c>
      <c r="F837" s="85"/>
      <c r="G837" s="85"/>
      <c r="H837" s="88"/>
      <c r="I837" s="86"/>
      <c r="J837" s="86"/>
      <c r="K837" s="87"/>
      <c r="L837" s="86"/>
      <c r="M837" s="86"/>
      <c r="N837" s="87"/>
      <c r="O837" s="86"/>
      <c r="P837" s="86"/>
      <c r="Q837" s="87"/>
    </row>
    <row r="838" spans="1:17" ht="14.45" customHeight="1">
      <c r="A838" s="81">
        <v>120</v>
      </c>
      <c r="B838" s="82"/>
      <c r="C838" s="107" t="s">
        <v>357</v>
      </c>
      <c r="D838" s="107" t="s">
        <v>180</v>
      </c>
      <c r="E838" s="84" t="s">
        <v>341</v>
      </c>
      <c r="F838" s="89">
        <v>13</v>
      </c>
      <c r="G838" s="89">
        <v>15</v>
      </c>
      <c r="H838" s="90">
        <v>13</v>
      </c>
      <c r="I838" s="86"/>
      <c r="J838" s="86"/>
      <c r="K838" s="87"/>
      <c r="L838" s="86"/>
      <c r="M838" s="86"/>
      <c r="N838" s="87"/>
      <c r="O838" s="86"/>
      <c r="P838" s="86"/>
      <c r="Q838" s="87"/>
    </row>
    <row r="839" spans="1:17" ht="45" customHeight="1">
      <c r="A839" s="81">
        <v>120</v>
      </c>
      <c r="B839" s="82"/>
      <c r="C839" s="107" t="s">
        <v>357</v>
      </c>
      <c r="D839" s="107" t="s">
        <v>180</v>
      </c>
      <c r="E839" s="84" t="s">
        <v>341</v>
      </c>
      <c r="F839" s="85"/>
      <c r="G839" s="85"/>
      <c r="H839" s="88"/>
      <c r="I839" s="86"/>
      <c r="J839" s="86"/>
      <c r="K839" s="87"/>
      <c r="L839" s="86"/>
      <c r="M839" s="86"/>
      <c r="N839" s="87"/>
      <c r="O839" s="86"/>
      <c r="P839" s="86"/>
      <c r="Q839" s="87"/>
    </row>
    <row r="840" spans="1:17" ht="14.45" customHeight="1">
      <c r="A840" s="81">
        <v>120</v>
      </c>
      <c r="B840" s="82"/>
      <c r="C840" s="107" t="s">
        <v>357</v>
      </c>
      <c r="D840" s="107" t="s">
        <v>180</v>
      </c>
      <c r="E840" s="84" t="s">
        <v>341</v>
      </c>
      <c r="F840" s="85"/>
      <c r="G840" s="85"/>
      <c r="H840" s="88"/>
      <c r="I840" s="86"/>
      <c r="J840" s="86"/>
      <c r="K840" s="87"/>
      <c r="L840" s="86"/>
      <c r="M840" s="86"/>
      <c r="N840" s="87"/>
      <c r="O840" s="86"/>
      <c r="P840" s="86"/>
      <c r="Q840" s="87"/>
    </row>
    <row r="841" spans="1:17" ht="24" customHeight="1">
      <c r="A841" s="91">
        <v>120</v>
      </c>
      <c r="B841" s="92"/>
      <c r="C841" s="108" t="s">
        <v>357</v>
      </c>
      <c r="D841" s="108" t="s">
        <v>180</v>
      </c>
      <c r="E841" s="94" t="s">
        <v>341</v>
      </c>
      <c r="F841" s="95" t="s">
        <v>56</v>
      </c>
      <c r="G841" s="96">
        <v>1910</v>
      </c>
      <c r="H841" s="97">
        <v>1910</v>
      </c>
      <c r="I841" s="98"/>
      <c r="J841" s="98"/>
      <c r="K841" s="99"/>
      <c r="L841" s="98"/>
      <c r="M841" s="98"/>
      <c r="N841" s="99"/>
      <c r="O841" s="98"/>
      <c r="P841" s="98"/>
      <c r="Q841" s="99"/>
    </row>
    <row r="842" spans="1:17" ht="14.45" customHeight="1">
      <c r="A842" s="75">
        <v>121</v>
      </c>
      <c r="B842" s="76"/>
      <c r="C842" s="106" t="s">
        <v>357</v>
      </c>
      <c r="D842" s="106" t="s">
        <v>180</v>
      </c>
      <c r="E842" s="78" t="s">
        <v>341</v>
      </c>
      <c r="F842" s="79" t="s">
        <v>50</v>
      </c>
      <c r="G842" s="79" t="s">
        <v>50</v>
      </c>
      <c r="H842" s="80" t="s">
        <v>50</v>
      </c>
      <c r="I842" s="79"/>
      <c r="J842" s="79"/>
      <c r="K842" s="80"/>
      <c r="L842" s="79"/>
      <c r="M842" s="79"/>
      <c r="N842" s="80"/>
      <c r="O842" s="79"/>
      <c r="P842" s="79"/>
      <c r="Q842" s="80"/>
    </row>
    <row r="843" spans="1:17" ht="60" customHeight="1">
      <c r="A843" s="81">
        <v>121</v>
      </c>
      <c r="B843" s="82"/>
      <c r="C843" s="107" t="s">
        <v>357</v>
      </c>
      <c r="D843" s="107" t="s">
        <v>180</v>
      </c>
      <c r="E843" s="84" t="s">
        <v>341</v>
      </c>
      <c r="F843" s="85"/>
      <c r="G843" s="86"/>
      <c r="H843" s="87"/>
      <c r="I843" s="86"/>
      <c r="J843" s="86"/>
      <c r="K843" s="87"/>
      <c r="L843" s="86"/>
      <c r="M843" s="86"/>
      <c r="N843" s="87"/>
      <c r="O843" s="86"/>
      <c r="P843" s="86"/>
      <c r="Q843" s="87"/>
    </row>
    <row r="844" spans="1:17" ht="45" customHeight="1">
      <c r="A844" s="81">
        <v>121</v>
      </c>
      <c r="B844" s="82"/>
      <c r="C844" s="107" t="s">
        <v>357</v>
      </c>
      <c r="D844" s="107" t="s">
        <v>180</v>
      </c>
      <c r="E844" s="84" t="s">
        <v>341</v>
      </c>
      <c r="F844" s="85"/>
      <c r="G844" s="85"/>
      <c r="H844" s="88"/>
      <c r="I844" s="86"/>
      <c r="J844" s="86"/>
      <c r="K844" s="87"/>
      <c r="L844" s="86"/>
      <c r="M844" s="86"/>
      <c r="N844" s="87"/>
      <c r="O844" s="86"/>
      <c r="P844" s="86"/>
      <c r="Q844" s="87"/>
    </row>
    <row r="845" spans="1:17" ht="14.45" customHeight="1">
      <c r="A845" s="81">
        <v>121</v>
      </c>
      <c r="B845" s="82"/>
      <c r="C845" s="107" t="s">
        <v>357</v>
      </c>
      <c r="D845" s="107" t="s">
        <v>180</v>
      </c>
      <c r="E845" s="84" t="s">
        <v>341</v>
      </c>
      <c r="F845" s="89">
        <v>13</v>
      </c>
      <c r="G845" s="89">
        <v>15</v>
      </c>
      <c r="H845" s="90">
        <v>13</v>
      </c>
      <c r="I845" s="86"/>
      <c r="J845" s="86"/>
      <c r="K845" s="87"/>
      <c r="L845" s="86"/>
      <c r="M845" s="86"/>
      <c r="N845" s="87"/>
      <c r="O845" s="86"/>
      <c r="P845" s="86"/>
      <c r="Q845" s="87"/>
    </row>
    <row r="846" spans="1:17" ht="45" customHeight="1">
      <c r="A846" s="81">
        <v>121</v>
      </c>
      <c r="B846" s="82"/>
      <c r="C846" s="107" t="s">
        <v>357</v>
      </c>
      <c r="D846" s="107" t="s">
        <v>180</v>
      </c>
      <c r="E846" s="84" t="s">
        <v>341</v>
      </c>
      <c r="F846" s="85"/>
      <c r="G846" s="85"/>
      <c r="H846" s="88"/>
      <c r="I846" s="86"/>
      <c r="J846" s="86"/>
      <c r="K846" s="87"/>
      <c r="L846" s="86"/>
      <c r="M846" s="86"/>
      <c r="N846" s="87"/>
      <c r="O846" s="86"/>
      <c r="P846" s="86"/>
      <c r="Q846" s="87"/>
    </row>
    <row r="847" spans="1:17" ht="14.45" customHeight="1">
      <c r="A847" s="81">
        <v>121</v>
      </c>
      <c r="B847" s="82"/>
      <c r="C847" s="107" t="s">
        <v>357</v>
      </c>
      <c r="D847" s="107" t="s">
        <v>180</v>
      </c>
      <c r="E847" s="84" t="s">
        <v>341</v>
      </c>
      <c r="F847" s="85"/>
      <c r="G847" s="85"/>
      <c r="H847" s="88"/>
      <c r="I847" s="86"/>
      <c r="J847" s="86"/>
      <c r="K847" s="87"/>
      <c r="L847" s="86"/>
      <c r="M847" s="86"/>
      <c r="N847" s="87"/>
      <c r="O847" s="86"/>
      <c r="P847" s="86"/>
      <c r="Q847" s="87"/>
    </row>
    <row r="848" spans="1:17" ht="24" customHeight="1">
      <c r="A848" s="91">
        <v>121</v>
      </c>
      <c r="B848" s="92"/>
      <c r="C848" s="108" t="s">
        <v>357</v>
      </c>
      <c r="D848" s="108" t="s">
        <v>180</v>
      </c>
      <c r="E848" s="94" t="s">
        <v>341</v>
      </c>
      <c r="F848" s="95" t="s">
        <v>56</v>
      </c>
      <c r="G848" s="96">
        <v>1910</v>
      </c>
      <c r="H848" s="97">
        <v>1910</v>
      </c>
      <c r="I848" s="98"/>
      <c r="J848" s="98"/>
      <c r="K848" s="99"/>
      <c r="L848" s="98"/>
      <c r="M848" s="98"/>
      <c r="N848" s="99"/>
      <c r="O848" s="98"/>
      <c r="P848" s="98"/>
      <c r="Q848" s="99"/>
    </row>
    <row r="849" spans="1:17" ht="14.45" customHeight="1">
      <c r="A849" s="75">
        <v>122</v>
      </c>
      <c r="B849" s="76"/>
      <c r="C849" s="106" t="s">
        <v>369</v>
      </c>
      <c r="D849" s="106" t="s">
        <v>180</v>
      </c>
      <c r="E849" s="78" t="s">
        <v>341</v>
      </c>
      <c r="F849" s="79" t="s">
        <v>50</v>
      </c>
      <c r="G849" s="79" t="s">
        <v>50</v>
      </c>
      <c r="H849" s="80" t="s">
        <v>50</v>
      </c>
      <c r="I849" s="79"/>
      <c r="J849" s="79"/>
      <c r="K849" s="80"/>
      <c r="L849" s="79"/>
      <c r="M849" s="79"/>
      <c r="N849" s="80"/>
      <c r="O849" s="79"/>
      <c r="P849" s="79"/>
      <c r="Q849" s="80"/>
    </row>
    <row r="850" spans="1:17" ht="60" customHeight="1">
      <c r="A850" s="81">
        <v>122</v>
      </c>
      <c r="B850" s="82"/>
      <c r="C850" s="107" t="s">
        <v>369</v>
      </c>
      <c r="D850" s="107" t="s">
        <v>180</v>
      </c>
      <c r="E850" s="84" t="s">
        <v>341</v>
      </c>
      <c r="F850" s="85"/>
      <c r="G850" s="86"/>
      <c r="H850" s="87"/>
      <c r="I850" s="86"/>
      <c r="J850" s="86"/>
      <c r="K850" s="87"/>
      <c r="L850" s="86"/>
      <c r="M850" s="86"/>
      <c r="N850" s="87"/>
      <c r="O850" s="86"/>
      <c r="P850" s="86"/>
      <c r="Q850" s="87"/>
    </row>
    <row r="851" spans="1:17" ht="45" customHeight="1">
      <c r="A851" s="81">
        <v>122</v>
      </c>
      <c r="B851" s="82"/>
      <c r="C851" s="107" t="s">
        <v>369</v>
      </c>
      <c r="D851" s="107" t="s">
        <v>180</v>
      </c>
      <c r="E851" s="84" t="s">
        <v>341</v>
      </c>
      <c r="F851" s="85"/>
      <c r="G851" s="85"/>
      <c r="H851" s="88"/>
      <c r="I851" s="86"/>
      <c r="J851" s="86"/>
      <c r="K851" s="87"/>
      <c r="L851" s="86"/>
      <c r="M851" s="86"/>
      <c r="N851" s="87"/>
      <c r="O851" s="86"/>
      <c r="P851" s="86"/>
      <c r="Q851" s="87"/>
    </row>
    <row r="852" spans="1:17" ht="14.45" customHeight="1">
      <c r="A852" s="81">
        <v>122</v>
      </c>
      <c r="B852" s="82"/>
      <c r="C852" s="107" t="s">
        <v>369</v>
      </c>
      <c r="D852" s="107" t="s">
        <v>180</v>
      </c>
      <c r="E852" s="84" t="s">
        <v>341</v>
      </c>
      <c r="F852" s="89">
        <v>13</v>
      </c>
      <c r="G852" s="89">
        <v>15</v>
      </c>
      <c r="H852" s="90">
        <v>13</v>
      </c>
      <c r="I852" s="86"/>
      <c r="J852" s="86"/>
      <c r="K852" s="87"/>
      <c r="L852" s="86"/>
      <c r="M852" s="86"/>
      <c r="N852" s="87"/>
      <c r="O852" s="86"/>
      <c r="P852" s="86"/>
      <c r="Q852" s="87"/>
    </row>
    <row r="853" spans="1:17" ht="45" customHeight="1">
      <c r="A853" s="81">
        <v>122</v>
      </c>
      <c r="B853" s="82"/>
      <c r="C853" s="107" t="s">
        <v>369</v>
      </c>
      <c r="D853" s="107" t="s">
        <v>180</v>
      </c>
      <c r="E853" s="84" t="s">
        <v>341</v>
      </c>
      <c r="F853" s="85"/>
      <c r="G853" s="85"/>
      <c r="H853" s="88"/>
      <c r="I853" s="86"/>
      <c r="J853" s="86"/>
      <c r="K853" s="87"/>
      <c r="L853" s="86"/>
      <c r="M853" s="86"/>
      <c r="N853" s="87"/>
      <c r="O853" s="86"/>
      <c r="P853" s="86"/>
      <c r="Q853" s="87"/>
    </row>
    <row r="854" spans="1:17" ht="14.45" customHeight="1">
      <c r="A854" s="81">
        <v>122</v>
      </c>
      <c r="B854" s="82"/>
      <c r="C854" s="107" t="s">
        <v>369</v>
      </c>
      <c r="D854" s="107" t="s">
        <v>180</v>
      </c>
      <c r="E854" s="84" t="s">
        <v>341</v>
      </c>
      <c r="F854" s="85"/>
      <c r="G854" s="85"/>
      <c r="H854" s="88"/>
      <c r="I854" s="86"/>
      <c r="J854" s="86"/>
      <c r="K854" s="87"/>
      <c r="L854" s="86"/>
      <c r="M854" s="86"/>
      <c r="N854" s="87"/>
      <c r="O854" s="86"/>
      <c r="P854" s="86"/>
      <c r="Q854" s="87"/>
    </row>
    <row r="855" spans="1:17" ht="24" customHeight="1">
      <c r="A855" s="91">
        <v>122</v>
      </c>
      <c r="B855" s="92"/>
      <c r="C855" s="108" t="s">
        <v>369</v>
      </c>
      <c r="D855" s="108" t="s">
        <v>180</v>
      </c>
      <c r="E855" s="94" t="s">
        <v>341</v>
      </c>
      <c r="F855" s="95" t="s">
        <v>56</v>
      </c>
      <c r="G855" s="96">
        <v>1910</v>
      </c>
      <c r="H855" s="97">
        <v>1910</v>
      </c>
      <c r="I855" s="98"/>
      <c r="J855" s="98"/>
      <c r="K855" s="99"/>
      <c r="L855" s="98"/>
      <c r="M855" s="98"/>
      <c r="N855" s="99"/>
      <c r="O855" s="98"/>
      <c r="P855" s="98"/>
      <c r="Q855" s="99"/>
    </row>
    <row r="856" spans="1:17" ht="14.45" customHeight="1">
      <c r="A856" s="75">
        <v>123</v>
      </c>
      <c r="B856" s="76"/>
      <c r="C856" s="106" t="s">
        <v>388</v>
      </c>
      <c r="D856" s="106" t="s">
        <v>180</v>
      </c>
      <c r="E856" s="78" t="s">
        <v>341</v>
      </c>
      <c r="F856" s="79" t="s">
        <v>50</v>
      </c>
      <c r="G856" s="79" t="s">
        <v>50</v>
      </c>
      <c r="H856" s="80" t="s">
        <v>50</v>
      </c>
      <c r="I856" s="79"/>
      <c r="J856" s="79"/>
      <c r="K856" s="80"/>
      <c r="L856" s="79"/>
      <c r="M856" s="79"/>
      <c r="N856" s="80"/>
      <c r="O856" s="79"/>
      <c r="P856" s="79"/>
      <c r="Q856" s="80"/>
    </row>
    <row r="857" spans="1:17" ht="60" customHeight="1">
      <c r="A857" s="81">
        <v>123</v>
      </c>
      <c r="B857" s="82"/>
      <c r="C857" s="107" t="s">
        <v>388</v>
      </c>
      <c r="D857" s="107" t="s">
        <v>180</v>
      </c>
      <c r="E857" s="84" t="s">
        <v>341</v>
      </c>
      <c r="F857" s="85"/>
      <c r="G857" s="86"/>
      <c r="H857" s="87"/>
      <c r="I857" s="86"/>
      <c r="J857" s="86"/>
      <c r="K857" s="87"/>
      <c r="L857" s="86"/>
      <c r="M857" s="86"/>
      <c r="N857" s="87"/>
      <c r="O857" s="86"/>
      <c r="P857" s="86"/>
      <c r="Q857" s="87"/>
    </row>
    <row r="858" spans="1:17" ht="45" customHeight="1">
      <c r="A858" s="81">
        <v>123</v>
      </c>
      <c r="B858" s="82"/>
      <c r="C858" s="107" t="s">
        <v>388</v>
      </c>
      <c r="D858" s="107" t="s">
        <v>180</v>
      </c>
      <c r="E858" s="84" t="s">
        <v>341</v>
      </c>
      <c r="F858" s="85"/>
      <c r="G858" s="85"/>
      <c r="H858" s="88"/>
      <c r="I858" s="86"/>
      <c r="J858" s="86"/>
      <c r="K858" s="87"/>
      <c r="L858" s="86"/>
      <c r="M858" s="86"/>
      <c r="N858" s="87"/>
      <c r="O858" s="86"/>
      <c r="P858" s="86"/>
      <c r="Q858" s="87"/>
    </row>
    <row r="859" spans="1:17" ht="14.45" customHeight="1">
      <c r="A859" s="81">
        <v>123</v>
      </c>
      <c r="B859" s="82"/>
      <c r="C859" s="107" t="s">
        <v>388</v>
      </c>
      <c r="D859" s="107" t="s">
        <v>180</v>
      </c>
      <c r="E859" s="84" t="s">
        <v>341</v>
      </c>
      <c r="F859" s="89">
        <v>13</v>
      </c>
      <c r="G859" s="89">
        <v>15</v>
      </c>
      <c r="H859" s="90">
        <v>13</v>
      </c>
      <c r="I859" s="86"/>
      <c r="J859" s="86"/>
      <c r="K859" s="87"/>
      <c r="L859" s="86"/>
      <c r="M859" s="86"/>
      <c r="N859" s="87"/>
      <c r="O859" s="86"/>
      <c r="P859" s="86"/>
      <c r="Q859" s="87"/>
    </row>
    <row r="860" spans="1:17" ht="45" customHeight="1">
      <c r="A860" s="81">
        <v>123</v>
      </c>
      <c r="B860" s="82"/>
      <c r="C860" s="107" t="s">
        <v>388</v>
      </c>
      <c r="D860" s="107" t="s">
        <v>180</v>
      </c>
      <c r="E860" s="84" t="s">
        <v>341</v>
      </c>
      <c r="F860" s="85"/>
      <c r="G860" s="85"/>
      <c r="H860" s="88"/>
      <c r="I860" s="86"/>
      <c r="J860" s="86"/>
      <c r="K860" s="87"/>
      <c r="L860" s="86"/>
      <c r="M860" s="86"/>
      <c r="N860" s="87"/>
      <c r="O860" s="86"/>
      <c r="P860" s="86"/>
      <c r="Q860" s="87"/>
    </row>
    <row r="861" spans="1:17" ht="14.45" customHeight="1">
      <c r="A861" s="81">
        <v>123</v>
      </c>
      <c r="B861" s="82"/>
      <c r="C861" s="107" t="s">
        <v>388</v>
      </c>
      <c r="D861" s="107" t="s">
        <v>180</v>
      </c>
      <c r="E861" s="84" t="s">
        <v>341</v>
      </c>
      <c r="F861" s="85"/>
      <c r="G861" s="85"/>
      <c r="H861" s="88"/>
      <c r="I861" s="86"/>
      <c r="J861" s="86"/>
      <c r="K861" s="87"/>
      <c r="L861" s="86"/>
      <c r="M861" s="86"/>
      <c r="N861" s="87"/>
      <c r="O861" s="86"/>
      <c r="P861" s="86"/>
      <c r="Q861" s="87"/>
    </row>
    <row r="862" spans="1:17" ht="24" customHeight="1">
      <c r="A862" s="91">
        <v>123</v>
      </c>
      <c r="B862" s="92"/>
      <c r="C862" s="108" t="s">
        <v>388</v>
      </c>
      <c r="D862" s="108" t="s">
        <v>180</v>
      </c>
      <c r="E862" s="94" t="s">
        <v>341</v>
      </c>
      <c r="F862" s="95" t="s">
        <v>56</v>
      </c>
      <c r="G862" s="96">
        <v>1910</v>
      </c>
      <c r="H862" s="97">
        <v>1910</v>
      </c>
      <c r="I862" s="98"/>
      <c r="J862" s="98"/>
      <c r="K862" s="99"/>
      <c r="L862" s="98"/>
      <c r="M862" s="98"/>
      <c r="N862" s="99"/>
      <c r="O862" s="98"/>
      <c r="P862" s="98"/>
      <c r="Q862" s="99"/>
    </row>
    <row r="863" spans="1:17" ht="14.45" customHeight="1">
      <c r="A863" s="75">
        <v>124</v>
      </c>
      <c r="B863" s="76"/>
      <c r="C863" s="106" t="s">
        <v>290</v>
      </c>
      <c r="D863" s="106" t="s">
        <v>180</v>
      </c>
      <c r="E863" s="78" t="s">
        <v>272</v>
      </c>
      <c r="F863" s="79" t="s">
        <v>50</v>
      </c>
      <c r="G863" s="79" t="s">
        <v>50</v>
      </c>
      <c r="H863" s="80" t="s">
        <v>50</v>
      </c>
      <c r="I863" s="79"/>
      <c r="J863" s="79"/>
      <c r="K863" s="80"/>
      <c r="L863" s="79"/>
      <c r="M863" s="79"/>
      <c r="N863" s="80"/>
      <c r="O863" s="79"/>
      <c r="P863" s="79"/>
      <c r="Q863" s="80"/>
    </row>
    <row r="864" spans="1:17" ht="60" customHeight="1">
      <c r="A864" s="81">
        <v>124</v>
      </c>
      <c r="B864" s="82"/>
      <c r="C864" s="107" t="s">
        <v>290</v>
      </c>
      <c r="D864" s="107" t="s">
        <v>180</v>
      </c>
      <c r="E864" s="84" t="s">
        <v>272</v>
      </c>
      <c r="F864" s="85"/>
      <c r="G864" s="86"/>
      <c r="H864" s="87"/>
      <c r="I864" s="86"/>
      <c r="J864" s="86"/>
      <c r="K864" s="87"/>
      <c r="L864" s="86"/>
      <c r="M864" s="86"/>
      <c r="N864" s="87"/>
      <c r="O864" s="86"/>
      <c r="P864" s="86"/>
      <c r="Q864" s="87"/>
    </row>
    <row r="865" spans="1:17" ht="45" customHeight="1">
      <c r="A865" s="81">
        <v>124</v>
      </c>
      <c r="B865" s="82"/>
      <c r="C865" s="107" t="s">
        <v>290</v>
      </c>
      <c r="D865" s="107" t="s">
        <v>180</v>
      </c>
      <c r="E865" s="84" t="s">
        <v>272</v>
      </c>
      <c r="F865" s="85"/>
      <c r="G865" s="85"/>
      <c r="H865" s="88"/>
      <c r="I865" s="86"/>
      <c r="J865" s="86"/>
      <c r="K865" s="87"/>
      <c r="L865" s="86"/>
      <c r="M865" s="86"/>
      <c r="N865" s="87"/>
      <c r="O865" s="86"/>
      <c r="P865" s="86"/>
      <c r="Q865" s="87"/>
    </row>
    <row r="866" spans="1:17" ht="14.45" customHeight="1">
      <c r="A866" s="81">
        <v>124</v>
      </c>
      <c r="B866" s="82"/>
      <c r="C866" s="107" t="s">
        <v>290</v>
      </c>
      <c r="D866" s="107" t="s">
        <v>180</v>
      </c>
      <c r="E866" s="84" t="s">
        <v>272</v>
      </c>
      <c r="F866" s="89">
        <v>8</v>
      </c>
      <c r="G866" s="89">
        <v>19</v>
      </c>
      <c r="H866" s="90">
        <v>6</v>
      </c>
      <c r="I866" s="86"/>
      <c r="J866" s="86"/>
      <c r="K866" s="87"/>
      <c r="L866" s="86"/>
      <c r="M866" s="86"/>
      <c r="N866" s="87"/>
      <c r="O866" s="86"/>
      <c r="P866" s="86"/>
      <c r="Q866" s="87"/>
    </row>
    <row r="867" spans="1:17" ht="45" customHeight="1">
      <c r="A867" s="81">
        <v>124</v>
      </c>
      <c r="B867" s="82"/>
      <c r="C867" s="107" t="s">
        <v>290</v>
      </c>
      <c r="D867" s="107" t="s">
        <v>180</v>
      </c>
      <c r="E867" s="84" t="s">
        <v>272</v>
      </c>
      <c r="F867" s="85"/>
      <c r="G867" s="85"/>
      <c r="H867" s="88"/>
      <c r="I867" s="86"/>
      <c r="J867" s="86"/>
      <c r="K867" s="87"/>
      <c r="L867" s="86"/>
      <c r="M867" s="86"/>
      <c r="N867" s="87"/>
      <c r="O867" s="86"/>
      <c r="P867" s="86"/>
      <c r="Q867" s="87"/>
    </row>
    <row r="868" spans="1:17" ht="14.45" customHeight="1">
      <c r="A868" s="81">
        <v>124</v>
      </c>
      <c r="B868" s="82"/>
      <c r="C868" s="107" t="s">
        <v>290</v>
      </c>
      <c r="D868" s="107" t="s">
        <v>180</v>
      </c>
      <c r="E868" s="84" t="s">
        <v>272</v>
      </c>
      <c r="F868" s="85"/>
      <c r="G868" s="85"/>
      <c r="H868" s="88"/>
      <c r="I868" s="86"/>
      <c r="J868" s="86"/>
      <c r="K868" s="87"/>
      <c r="L868" s="86"/>
      <c r="M868" s="86"/>
      <c r="N868" s="87"/>
      <c r="O868" s="86"/>
      <c r="P868" s="86"/>
      <c r="Q868" s="87"/>
    </row>
    <row r="869" spans="1:17" ht="24" customHeight="1">
      <c r="A869" s="91">
        <v>124</v>
      </c>
      <c r="B869" s="92"/>
      <c r="C869" s="108" t="s">
        <v>290</v>
      </c>
      <c r="D869" s="108" t="s">
        <v>180</v>
      </c>
      <c r="E869" s="94" t="s">
        <v>272</v>
      </c>
      <c r="F869" s="95" t="s">
        <v>56</v>
      </c>
      <c r="G869" s="96">
        <v>1730</v>
      </c>
      <c r="H869" s="97">
        <v>1730</v>
      </c>
      <c r="I869" s="98"/>
      <c r="J869" s="98"/>
      <c r="K869" s="99"/>
      <c r="L869" s="98"/>
      <c r="M869" s="98"/>
      <c r="N869" s="99"/>
      <c r="O869" s="98"/>
      <c r="P869" s="98"/>
      <c r="Q869" s="99"/>
    </row>
    <row r="870" spans="1:17" ht="14.45" customHeight="1">
      <c r="A870" s="75">
        <v>125</v>
      </c>
      <c r="B870" s="76"/>
      <c r="C870" s="106" t="s">
        <v>389</v>
      </c>
      <c r="D870" s="106" t="s">
        <v>180</v>
      </c>
      <c r="E870" s="78" t="s">
        <v>341</v>
      </c>
      <c r="F870" s="79" t="s">
        <v>50</v>
      </c>
      <c r="G870" s="79" t="s">
        <v>50</v>
      </c>
      <c r="H870" s="80" t="s">
        <v>50</v>
      </c>
      <c r="I870" s="79"/>
      <c r="J870" s="79"/>
      <c r="K870" s="80"/>
      <c r="L870" s="79"/>
      <c r="M870" s="79"/>
      <c r="N870" s="80"/>
      <c r="O870" s="79"/>
      <c r="P870" s="79"/>
      <c r="Q870" s="80"/>
    </row>
    <row r="871" spans="1:17" ht="60" customHeight="1">
      <c r="A871" s="81">
        <v>125</v>
      </c>
      <c r="B871" s="82"/>
      <c r="C871" s="107" t="s">
        <v>389</v>
      </c>
      <c r="D871" s="107" t="s">
        <v>180</v>
      </c>
      <c r="E871" s="84" t="s">
        <v>341</v>
      </c>
      <c r="F871" s="85"/>
      <c r="G871" s="86"/>
      <c r="H871" s="87"/>
      <c r="I871" s="86"/>
      <c r="J871" s="86"/>
      <c r="K871" s="87"/>
      <c r="L871" s="86"/>
      <c r="M871" s="86"/>
      <c r="N871" s="87"/>
      <c r="O871" s="86"/>
      <c r="P871" s="86"/>
      <c r="Q871" s="87"/>
    </row>
    <row r="872" spans="1:17" ht="45" customHeight="1">
      <c r="A872" s="81">
        <v>125</v>
      </c>
      <c r="B872" s="82"/>
      <c r="C872" s="107" t="s">
        <v>389</v>
      </c>
      <c r="D872" s="107" t="s">
        <v>180</v>
      </c>
      <c r="E872" s="84" t="s">
        <v>341</v>
      </c>
      <c r="F872" s="85"/>
      <c r="G872" s="85"/>
      <c r="H872" s="88"/>
      <c r="I872" s="86"/>
      <c r="J872" s="86"/>
      <c r="K872" s="87"/>
      <c r="L872" s="86"/>
      <c r="M872" s="86"/>
      <c r="N872" s="87"/>
      <c r="O872" s="86"/>
      <c r="P872" s="86"/>
      <c r="Q872" s="87"/>
    </row>
    <row r="873" spans="1:17" ht="14.45" customHeight="1">
      <c r="A873" s="81">
        <v>125</v>
      </c>
      <c r="B873" s="82"/>
      <c r="C873" s="107" t="s">
        <v>389</v>
      </c>
      <c r="D873" s="107" t="s">
        <v>180</v>
      </c>
      <c r="E873" s="84" t="s">
        <v>341</v>
      </c>
      <c r="F873" s="89">
        <v>9</v>
      </c>
      <c r="G873" s="89">
        <v>11</v>
      </c>
      <c r="H873" s="90">
        <v>10</v>
      </c>
      <c r="I873" s="86"/>
      <c r="J873" s="86"/>
      <c r="K873" s="87"/>
      <c r="L873" s="86"/>
      <c r="M873" s="86"/>
      <c r="N873" s="87"/>
      <c r="O873" s="86"/>
      <c r="P873" s="86"/>
      <c r="Q873" s="87"/>
    </row>
    <row r="874" spans="1:17" ht="45" customHeight="1">
      <c r="A874" s="81">
        <v>125</v>
      </c>
      <c r="B874" s="82"/>
      <c r="C874" s="107" t="s">
        <v>389</v>
      </c>
      <c r="D874" s="107" t="s">
        <v>180</v>
      </c>
      <c r="E874" s="84" t="s">
        <v>341</v>
      </c>
      <c r="F874" s="85"/>
      <c r="G874" s="85"/>
      <c r="H874" s="88"/>
      <c r="I874" s="86"/>
      <c r="J874" s="86"/>
      <c r="K874" s="87"/>
      <c r="L874" s="86"/>
      <c r="M874" s="86"/>
      <c r="N874" s="87"/>
      <c r="O874" s="86"/>
      <c r="P874" s="86"/>
      <c r="Q874" s="87"/>
    </row>
    <row r="875" spans="1:17" ht="14.45" customHeight="1">
      <c r="A875" s="81">
        <v>125</v>
      </c>
      <c r="B875" s="82"/>
      <c r="C875" s="107" t="s">
        <v>389</v>
      </c>
      <c r="D875" s="107" t="s">
        <v>180</v>
      </c>
      <c r="E875" s="84" t="s">
        <v>341</v>
      </c>
      <c r="F875" s="85"/>
      <c r="G875" s="85"/>
      <c r="H875" s="88"/>
      <c r="I875" s="86"/>
      <c r="J875" s="86"/>
      <c r="K875" s="87"/>
      <c r="L875" s="86"/>
      <c r="M875" s="86"/>
      <c r="N875" s="87"/>
      <c r="O875" s="86"/>
      <c r="P875" s="86"/>
      <c r="Q875" s="87"/>
    </row>
    <row r="876" spans="1:17" ht="24" customHeight="1">
      <c r="A876" s="91">
        <v>125</v>
      </c>
      <c r="B876" s="92"/>
      <c r="C876" s="108" t="s">
        <v>389</v>
      </c>
      <c r="D876" s="108" t="s">
        <v>180</v>
      </c>
      <c r="E876" s="94" t="s">
        <v>341</v>
      </c>
      <c r="F876" s="95" t="s">
        <v>56</v>
      </c>
      <c r="G876" s="96">
        <v>1590</v>
      </c>
      <c r="H876" s="97">
        <v>1590</v>
      </c>
      <c r="I876" s="98"/>
      <c r="J876" s="98"/>
      <c r="K876" s="99"/>
      <c r="L876" s="98"/>
      <c r="M876" s="98"/>
      <c r="N876" s="99"/>
      <c r="O876" s="98"/>
      <c r="P876" s="98"/>
      <c r="Q876" s="99"/>
    </row>
    <row r="877" spans="1:17" ht="14.45" customHeight="1">
      <c r="A877" s="75">
        <v>126</v>
      </c>
      <c r="B877" s="76"/>
      <c r="C877" s="106" t="s">
        <v>390</v>
      </c>
      <c r="D877" s="106" t="s">
        <v>180</v>
      </c>
      <c r="E877" s="78" t="s">
        <v>341</v>
      </c>
      <c r="F877" s="79" t="s">
        <v>50</v>
      </c>
      <c r="G877" s="79" t="s">
        <v>50</v>
      </c>
      <c r="H877" s="80" t="s">
        <v>50</v>
      </c>
      <c r="I877" s="79"/>
      <c r="J877" s="79"/>
      <c r="K877" s="80"/>
      <c r="L877" s="79"/>
      <c r="M877" s="79"/>
      <c r="N877" s="80"/>
      <c r="O877" s="79"/>
      <c r="P877" s="79"/>
      <c r="Q877" s="80"/>
    </row>
    <row r="878" spans="1:17" ht="60" customHeight="1">
      <c r="A878" s="81">
        <v>126</v>
      </c>
      <c r="B878" s="82"/>
      <c r="C878" s="107" t="s">
        <v>390</v>
      </c>
      <c r="D878" s="107" t="s">
        <v>180</v>
      </c>
      <c r="E878" s="84" t="s">
        <v>341</v>
      </c>
      <c r="F878" s="85"/>
      <c r="G878" s="86"/>
      <c r="H878" s="87"/>
      <c r="I878" s="86"/>
      <c r="J878" s="86"/>
      <c r="K878" s="87"/>
      <c r="L878" s="86"/>
      <c r="M878" s="86"/>
      <c r="N878" s="87"/>
      <c r="O878" s="86"/>
      <c r="P878" s="86"/>
      <c r="Q878" s="87"/>
    </row>
    <row r="879" spans="1:17" ht="45" customHeight="1">
      <c r="A879" s="81">
        <v>126</v>
      </c>
      <c r="B879" s="82"/>
      <c r="C879" s="107" t="s">
        <v>390</v>
      </c>
      <c r="D879" s="107" t="s">
        <v>180</v>
      </c>
      <c r="E879" s="84" t="s">
        <v>341</v>
      </c>
      <c r="F879" s="85"/>
      <c r="G879" s="85"/>
      <c r="H879" s="88"/>
      <c r="I879" s="86"/>
      <c r="J879" s="86"/>
      <c r="K879" s="87"/>
      <c r="L879" s="86"/>
      <c r="M879" s="86"/>
      <c r="N879" s="87"/>
      <c r="O879" s="86"/>
      <c r="P879" s="86"/>
      <c r="Q879" s="87"/>
    </row>
    <row r="880" spans="1:17" ht="14.45" customHeight="1">
      <c r="A880" s="81">
        <v>126</v>
      </c>
      <c r="B880" s="82"/>
      <c r="C880" s="107" t="s">
        <v>390</v>
      </c>
      <c r="D880" s="107" t="s">
        <v>180</v>
      </c>
      <c r="E880" s="84" t="s">
        <v>341</v>
      </c>
      <c r="F880" s="89">
        <v>9</v>
      </c>
      <c r="G880" s="89">
        <v>11</v>
      </c>
      <c r="H880" s="90">
        <v>10</v>
      </c>
      <c r="I880" s="86"/>
      <c r="J880" s="86"/>
      <c r="K880" s="87"/>
      <c r="L880" s="86"/>
      <c r="M880" s="86"/>
      <c r="N880" s="87"/>
      <c r="O880" s="86"/>
      <c r="P880" s="86"/>
      <c r="Q880" s="87"/>
    </row>
    <row r="881" spans="1:17" ht="45" customHeight="1">
      <c r="A881" s="81">
        <v>126</v>
      </c>
      <c r="B881" s="82"/>
      <c r="C881" s="107" t="s">
        <v>390</v>
      </c>
      <c r="D881" s="107" t="s">
        <v>180</v>
      </c>
      <c r="E881" s="84" t="s">
        <v>341</v>
      </c>
      <c r="F881" s="85"/>
      <c r="G881" s="85"/>
      <c r="H881" s="88"/>
      <c r="I881" s="86"/>
      <c r="J881" s="86"/>
      <c r="K881" s="87"/>
      <c r="L881" s="86"/>
      <c r="M881" s="86"/>
      <c r="N881" s="87"/>
      <c r="O881" s="86"/>
      <c r="P881" s="86"/>
      <c r="Q881" s="87"/>
    </row>
    <row r="882" spans="1:17" ht="14.45" customHeight="1">
      <c r="A882" s="81">
        <v>126</v>
      </c>
      <c r="B882" s="82"/>
      <c r="C882" s="107" t="s">
        <v>390</v>
      </c>
      <c r="D882" s="107" t="s">
        <v>180</v>
      </c>
      <c r="E882" s="84" t="s">
        <v>341</v>
      </c>
      <c r="F882" s="85"/>
      <c r="G882" s="85"/>
      <c r="H882" s="88"/>
      <c r="I882" s="86"/>
      <c r="J882" s="86"/>
      <c r="K882" s="87"/>
      <c r="L882" s="86"/>
      <c r="M882" s="86"/>
      <c r="N882" s="87"/>
      <c r="O882" s="86"/>
      <c r="P882" s="86"/>
      <c r="Q882" s="87"/>
    </row>
    <row r="883" spans="1:17" ht="24" customHeight="1">
      <c r="A883" s="91">
        <v>126</v>
      </c>
      <c r="B883" s="92"/>
      <c r="C883" s="108" t="s">
        <v>390</v>
      </c>
      <c r="D883" s="108" t="s">
        <v>180</v>
      </c>
      <c r="E883" s="94" t="s">
        <v>341</v>
      </c>
      <c r="F883" s="95" t="s">
        <v>56</v>
      </c>
      <c r="G883" s="96">
        <v>1590</v>
      </c>
      <c r="H883" s="97">
        <v>1590</v>
      </c>
      <c r="I883" s="98"/>
      <c r="J883" s="98"/>
      <c r="K883" s="99"/>
      <c r="L883" s="98"/>
      <c r="M883" s="98"/>
      <c r="N883" s="99"/>
      <c r="O883" s="98"/>
      <c r="P883" s="98"/>
      <c r="Q883" s="99"/>
    </row>
    <row r="884" spans="1:17" ht="14.45" customHeight="1">
      <c r="A884" s="75">
        <v>127</v>
      </c>
      <c r="B884" s="76"/>
      <c r="C884" s="106" t="s">
        <v>391</v>
      </c>
      <c r="D884" s="106" t="s">
        <v>180</v>
      </c>
      <c r="E884" s="78" t="s">
        <v>341</v>
      </c>
      <c r="F884" s="79" t="s">
        <v>50</v>
      </c>
      <c r="G884" s="79" t="s">
        <v>50</v>
      </c>
      <c r="H884" s="80" t="s">
        <v>50</v>
      </c>
      <c r="I884" s="79"/>
      <c r="J884" s="79"/>
      <c r="K884" s="80"/>
      <c r="L884" s="79"/>
      <c r="M884" s="79"/>
      <c r="N884" s="80"/>
      <c r="O884" s="79"/>
      <c r="P884" s="79"/>
      <c r="Q884" s="80"/>
    </row>
    <row r="885" spans="1:17" ht="60" customHeight="1">
      <c r="A885" s="81">
        <v>127</v>
      </c>
      <c r="B885" s="82"/>
      <c r="C885" s="107" t="s">
        <v>391</v>
      </c>
      <c r="D885" s="107" t="s">
        <v>180</v>
      </c>
      <c r="E885" s="84" t="s">
        <v>341</v>
      </c>
      <c r="F885" s="85"/>
      <c r="G885" s="86"/>
      <c r="H885" s="87"/>
      <c r="I885" s="86"/>
      <c r="J885" s="86"/>
      <c r="K885" s="87"/>
      <c r="L885" s="86"/>
      <c r="M885" s="86"/>
      <c r="N885" s="87"/>
      <c r="O885" s="86"/>
      <c r="P885" s="86"/>
      <c r="Q885" s="87"/>
    </row>
    <row r="886" spans="1:17" ht="45" customHeight="1">
      <c r="A886" s="81">
        <v>127</v>
      </c>
      <c r="B886" s="82"/>
      <c r="C886" s="107" t="s">
        <v>391</v>
      </c>
      <c r="D886" s="107" t="s">
        <v>180</v>
      </c>
      <c r="E886" s="84" t="s">
        <v>341</v>
      </c>
      <c r="F886" s="85"/>
      <c r="G886" s="85"/>
      <c r="H886" s="88"/>
      <c r="I886" s="86"/>
      <c r="J886" s="86"/>
      <c r="K886" s="87"/>
      <c r="L886" s="86"/>
      <c r="M886" s="86"/>
      <c r="N886" s="87"/>
      <c r="O886" s="86"/>
      <c r="P886" s="86"/>
      <c r="Q886" s="87"/>
    </row>
    <row r="887" spans="1:17" ht="14.45" customHeight="1">
      <c r="A887" s="81">
        <v>127</v>
      </c>
      <c r="B887" s="82"/>
      <c r="C887" s="107" t="s">
        <v>391</v>
      </c>
      <c r="D887" s="107" t="s">
        <v>180</v>
      </c>
      <c r="E887" s="84" t="s">
        <v>341</v>
      </c>
      <c r="F887" s="89">
        <v>9</v>
      </c>
      <c r="G887" s="89">
        <v>11</v>
      </c>
      <c r="H887" s="90">
        <v>10</v>
      </c>
      <c r="I887" s="86"/>
      <c r="J887" s="86"/>
      <c r="K887" s="87"/>
      <c r="L887" s="86"/>
      <c r="M887" s="86"/>
      <c r="N887" s="87"/>
      <c r="O887" s="86"/>
      <c r="P887" s="86"/>
      <c r="Q887" s="87"/>
    </row>
    <row r="888" spans="1:17" ht="45" customHeight="1">
      <c r="A888" s="81">
        <v>127</v>
      </c>
      <c r="B888" s="82"/>
      <c r="C888" s="107" t="s">
        <v>391</v>
      </c>
      <c r="D888" s="107" t="s">
        <v>180</v>
      </c>
      <c r="E888" s="84" t="s">
        <v>341</v>
      </c>
      <c r="F888" s="85"/>
      <c r="G888" s="85"/>
      <c r="H888" s="88"/>
      <c r="I888" s="86"/>
      <c r="J888" s="86"/>
      <c r="K888" s="87"/>
      <c r="L888" s="86"/>
      <c r="M888" s="86"/>
      <c r="N888" s="87"/>
      <c r="O888" s="86"/>
      <c r="P888" s="86"/>
      <c r="Q888" s="87"/>
    </row>
    <row r="889" spans="1:17" ht="14.45" customHeight="1">
      <c r="A889" s="81">
        <v>127</v>
      </c>
      <c r="B889" s="82"/>
      <c r="C889" s="107" t="s">
        <v>391</v>
      </c>
      <c r="D889" s="107" t="s">
        <v>180</v>
      </c>
      <c r="E889" s="84" t="s">
        <v>341</v>
      </c>
      <c r="F889" s="85"/>
      <c r="G889" s="85"/>
      <c r="H889" s="88"/>
      <c r="I889" s="86"/>
      <c r="J889" s="86"/>
      <c r="K889" s="87"/>
      <c r="L889" s="86"/>
      <c r="M889" s="86"/>
      <c r="N889" s="87"/>
      <c r="O889" s="86"/>
      <c r="P889" s="86"/>
      <c r="Q889" s="87"/>
    </row>
    <row r="890" spans="1:17" ht="24" customHeight="1">
      <c r="A890" s="91">
        <v>127</v>
      </c>
      <c r="B890" s="92"/>
      <c r="C890" s="108" t="s">
        <v>391</v>
      </c>
      <c r="D890" s="108" t="s">
        <v>180</v>
      </c>
      <c r="E890" s="94" t="s">
        <v>341</v>
      </c>
      <c r="F890" s="95" t="s">
        <v>56</v>
      </c>
      <c r="G890" s="96">
        <v>1590</v>
      </c>
      <c r="H890" s="97">
        <v>1590</v>
      </c>
      <c r="I890" s="98"/>
      <c r="J890" s="98"/>
      <c r="K890" s="99"/>
      <c r="L890" s="98"/>
      <c r="M890" s="98"/>
      <c r="N890" s="99"/>
      <c r="O890" s="98"/>
      <c r="P890" s="98"/>
      <c r="Q890" s="99"/>
    </row>
    <row r="891" spans="1:17" ht="14.45" customHeight="1">
      <c r="A891" s="75">
        <v>128</v>
      </c>
      <c r="B891" s="76"/>
      <c r="C891" s="106" t="s">
        <v>392</v>
      </c>
      <c r="D891" s="106" t="s">
        <v>180</v>
      </c>
      <c r="E891" s="78" t="s">
        <v>341</v>
      </c>
      <c r="F891" s="79" t="s">
        <v>50</v>
      </c>
      <c r="G891" s="79" t="s">
        <v>50</v>
      </c>
      <c r="H891" s="80" t="s">
        <v>50</v>
      </c>
      <c r="I891" s="79"/>
      <c r="J891" s="79"/>
      <c r="K891" s="80"/>
      <c r="L891" s="79"/>
      <c r="M891" s="79"/>
      <c r="N891" s="80"/>
      <c r="O891" s="79"/>
      <c r="P891" s="79"/>
      <c r="Q891" s="80"/>
    </row>
    <row r="892" spans="1:17" ht="60" customHeight="1">
      <c r="A892" s="81">
        <v>128</v>
      </c>
      <c r="B892" s="82"/>
      <c r="C892" s="107" t="s">
        <v>392</v>
      </c>
      <c r="D892" s="107" t="s">
        <v>180</v>
      </c>
      <c r="E892" s="84" t="s">
        <v>341</v>
      </c>
      <c r="F892" s="85"/>
      <c r="G892" s="86"/>
      <c r="H892" s="87"/>
      <c r="I892" s="86"/>
      <c r="J892" s="86"/>
      <c r="K892" s="87"/>
      <c r="L892" s="86"/>
      <c r="M892" s="86"/>
      <c r="N892" s="87"/>
      <c r="O892" s="86"/>
      <c r="P892" s="86"/>
      <c r="Q892" s="87"/>
    </row>
    <row r="893" spans="1:17" ht="45" customHeight="1">
      <c r="A893" s="81">
        <v>128</v>
      </c>
      <c r="B893" s="82"/>
      <c r="C893" s="107" t="s">
        <v>392</v>
      </c>
      <c r="D893" s="107" t="s">
        <v>180</v>
      </c>
      <c r="E893" s="84" t="s">
        <v>341</v>
      </c>
      <c r="F893" s="85"/>
      <c r="G893" s="85"/>
      <c r="H893" s="88"/>
      <c r="I893" s="86"/>
      <c r="J893" s="86"/>
      <c r="K893" s="87"/>
      <c r="L893" s="86"/>
      <c r="M893" s="86"/>
      <c r="N893" s="87"/>
      <c r="O893" s="86"/>
      <c r="P893" s="86"/>
      <c r="Q893" s="87"/>
    </row>
    <row r="894" spans="1:17" ht="14.45" customHeight="1">
      <c r="A894" s="81">
        <v>128</v>
      </c>
      <c r="B894" s="82"/>
      <c r="C894" s="107" t="s">
        <v>392</v>
      </c>
      <c r="D894" s="107" t="s">
        <v>180</v>
      </c>
      <c r="E894" s="84" t="s">
        <v>341</v>
      </c>
      <c r="F894" s="89">
        <v>9</v>
      </c>
      <c r="G894" s="89">
        <v>11</v>
      </c>
      <c r="H894" s="90">
        <v>10</v>
      </c>
      <c r="I894" s="86"/>
      <c r="J894" s="86"/>
      <c r="K894" s="87"/>
      <c r="L894" s="86"/>
      <c r="M894" s="86"/>
      <c r="N894" s="87"/>
      <c r="O894" s="86"/>
      <c r="P894" s="86"/>
      <c r="Q894" s="87"/>
    </row>
    <row r="895" spans="1:17" ht="45" customHeight="1">
      <c r="A895" s="81">
        <v>128</v>
      </c>
      <c r="B895" s="82"/>
      <c r="C895" s="107" t="s">
        <v>392</v>
      </c>
      <c r="D895" s="107" t="s">
        <v>180</v>
      </c>
      <c r="E895" s="84" t="s">
        <v>341</v>
      </c>
      <c r="F895" s="85"/>
      <c r="G895" s="85"/>
      <c r="H895" s="88"/>
      <c r="I895" s="86"/>
      <c r="J895" s="86"/>
      <c r="K895" s="87"/>
      <c r="L895" s="86"/>
      <c r="M895" s="86"/>
      <c r="N895" s="87"/>
      <c r="O895" s="86"/>
      <c r="P895" s="86"/>
      <c r="Q895" s="87"/>
    </row>
    <row r="896" spans="1:17" ht="14.45" customHeight="1">
      <c r="A896" s="81">
        <v>128</v>
      </c>
      <c r="B896" s="82"/>
      <c r="C896" s="107" t="s">
        <v>392</v>
      </c>
      <c r="D896" s="107" t="s">
        <v>180</v>
      </c>
      <c r="E896" s="84" t="s">
        <v>341</v>
      </c>
      <c r="F896" s="85"/>
      <c r="G896" s="85"/>
      <c r="H896" s="88"/>
      <c r="I896" s="86"/>
      <c r="J896" s="86"/>
      <c r="K896" s="87"/>
      <c r="L896" s="86"/>
      <c r="M896" s="86"/>
      <c r="N896" s="87"/>
      <c r="O896" s="86"/>
      <c r="P896" s="86"/>
      <c r="Q896" s="87"/>
    </row>
    <row r="897" spans="1:17" ht="24" customHeight="1">
      <c r="A897" s="91">
        <v>128</v>
      </c>
      <c r="B897" s="92"/>
      <c r="C897" s="108" t="s">
        <v>392</v>
      </c>
      <c r="D897" s="108" t="s">
        <v>180</v>
      </c>
      <c r="E897" s="94" t="s">
        <v>341</v>
      </c>
      <c r="F897" s="95" t="s">
        <v>56</v>
      </c>
      <c r="G897" s="96">
        <v>1590</v>
      </c>
      <c r="H897" s="97">
        <v>1590</v>
      </c>
      <c r="I897" s="98"/>
      <c r="J897" s="98"/>
      <c r="K897" s="99"/>
      <c r="L897" s="98"/>
      <c r="M897" s="98"/>
      <c r="N897" s="99"/>
      <c r="O897" s="98"/>
      <c r="P897" s="98"/>
      <c r="Q897" s="99"/>
    </row>
    <row r="898" spans="1:17" ht="14.45" customHeight="1">
      <c r="A898" s="75">
        <v>129</v>
      </c>
      <c r="B898" s="76"/>
      <c r="C898" s="106" t="s">
        <v>384</v>
      </c>
      <c r="D898" s="106" t="s">
        <v>180</v>
      </c>
      <c r="E898" s="78" t="s">
        <v>272</v>
      </c>
      <c r="F898" s="79" t="s">
        <v>50</v>
      </c>
      <c r="G898" s="79" t="s">
        <v>50</v>
      </c>
      <c r="H898" s="80" t="s">
        <v>50</v>
      </c>
      <c r="I898" s="79" t="s">
        <v>51</v>
      </c>
      <c r="J898" s="79" t="s">
        <v>51</v>
      </c>
      <c r="K898" s="80" t="s">
        <v>51</v>
      </c>
      <c r="L898" s="79"/>
      <c r="M898" s="79"/>
      <c r="N898" s="80"/>
      <c r="O898" s="79"/>
      <c r="P898" s="79"/>
      <c r="Q898" s="80"/>
    </row>
    <row r="899" spans="1:17" ht="60" customHeight="1">
      <c r="A899" s="81">
        <v>129</v>
      </c>
      <c r="B899" s="82"/>
      <c r="C899" s="107" t="s">
        <v>384</v>
      </c>
      <c r="D899" s="107" t="s">
        <v>180</v>
      </c>
      <c r="E899" s="84" t="s">
        <v>272</v>
      </c>
      <c r="F899" s="85"/>
      <c r="G899" s="86" t="s">
        <v>385</v>
      </c>
      <c r="H899" s="87" t="s">
        <v>385</v>
      </c>
      <c r="I899" s="85"/>
      <c r="J899" s="86"/>
      <c r="K899" s="87"/>
      <c r="L899" s="86"/>
      <c r="M899" s="86"/>
      <c r="N899" s="87"/>
      <c r="O899" s="86"/>
      <c r="P899" s="86"/>
      <c r="Q899" s="87"/>
    </row>
    <row r="900" spans="1:17" ht="45" customHeight="1">
      <c r="A900" s="81">
        <v>129</v>
      </c>
      <c r="B900" s="82"/>
      <c r="C900" s="107" t="s">
        <v>384</v>
      </c>
      <c r="D900" s="107" t="s">
        <v>180</v>
      </c>
      <c r="E900" s="84" t="s">
        <v>272</v>
      </c>
      <c r="F900" s="85"/>
      <c r="G900" s="85"/>
      <c r="H900" s="88"/>
      <c r="I900" s="85"/>
      <c r="J900" s="85"/>
      <c r="K900" s="88"/>
      <c r="L900" s="86"/>
      <c r="M900" s="86"/>
      <c r="N900" s="87"/>
      <c r="O900" s="86"/>
      <c r="P900" s="86"/>
      <c r="Q900" s="87"/>
    </row>
    <row r="901" spans="1:17" ht="14.45" customHeight="1">
      <c r="A901" s="81">
        <v>129</v>
      </c>
      <c r="B901" s="82"/>
      <c r="C901" s="107" t="s">
        <v>384</v>
      </c>
      <c r="D901" s="107" t="s">
        <v>180</v>
      </c>
      <c r="E901" s="84" t="s">
        <v>272</v>
      </c>
      <c r="F901" s="89">
        <v>7</v>
      </c>
      <c r="G901" s="89">
        <v>17</v>
      </c>
      <c r="H901" s="90">
        <v>5</v>
      </c>
      <c r="I901" s="89">
        <v>8</v>
      </c>
      <c r="J901" s="89">
        <v>19</v>
      </c>
      <c r="K901" s="90">
        <v>6</v>
      </c>
      <c r="L901" s="86"/>
      <c r="M901" s="86"/>
      <c r="N901" s="87"/>
      <c r="O901" s="86"/>
      <c r="P901" s="86"/>
      <c r="Q901" s="87"/>
    </row>
    <row r="902" spans="1:17" ht="45" customHeight="1">
      <c r="A902" s="81">
        <v>129</v>
      </c>
      <c r="B902" s="82"/>
      <c r="C902" s="107" t="s">
        <v>384</v>
      </c>
      <c r="D902" s="107" t="s">
        <v>180</v>
      </c>
      <c r="E902" s="84" t="s">
        <v>272</v>
      </c>
      <c r="F902" s="85"/>
      <c r="G902" s="85"/>
      <c r="H902" s="88"/>
      <c r="I902" s="85"/>
      <c r="J902" s="85"/>
      <c r="K902" s="88"/>
      <c r="L902" s="86"/>
      <c r="M902" s="86"/>
      <c r="N902" s="87"/>
      <c r="O902" s="86"/>
      <c r="P902" s="86"/>
      <c r="Q902" s="87"/>
    </row>
    <row r="903" spans="1:17" ht="14.45" customHeight="1">
      <c r="A903" s="81">
        <v>129</v>
      </c>
      <c r="B903" s="82"/>
      <c r="C903" s="107" t="s">
        <v>384</v>
      </c>
      <c r="D903" s="107" t="s">
        <v>180</v>
      </c>
      <c r="E903" s="84" t="s">
        <v>272</v>
      </c>
      <c r="F903" s="85"/>
      <c r="G903" s="85"/>
      <c r="H903" s="88"/>
      <c r="I903" s="85"/>
      <c r="J903" s="85"/>
      <c r="K903" s="88"/>
      <c r="L903" s="86"/>
      <c r="M903" s="86"/>
      <c r="N903" s="87"/>
      <c r="O903" s="86"/>
      <c r="P903" s="86"/>
      <c r="Q903" s="87"/>
    </row>
    <row r="904" spans="1:17" ht="24" customHeight="1">
      <c r="A904" s="91">
        <v>129</v>
      </c>
      <c r="B904" s="92"/>
      <c r="C904" s="108" t="s">
        <v>384</v>
      </c>
      <c r="D904" s="108" t="s">
        <v>180</v>
      </c>
      <c r="E904" s="94" t="s">
        <v>272</v>
      </c>
      <c r="F904" s="95" t="s">
        <v>56</v>
      </c>
      <c r="G904" s="96">
        <v>1520</v>
      </c>
      <c r="H904" s="97">
        <v>1520</v>
      </c>
      <c r="I904" s="95" t="s">
        <v>56</v>
      </c>
      <c r="J904" s="96">
        <v>1730</v>
      </c>
      <c r="K904" s="97">
        <v>1730</v>
      </c>
      <c r="L904" s="98"/>
      <c r="M904" s="98"/>
      <c r="N904" s="99"/>
      <c r="O904" s="98"/>
      <c r="P904" s="98"/>
      <c r="Q904" s="99"/>
    </row>
    <row r="905" spans="1:17" ht="14.45" customHeight="1">
      <c r="A905" s="75">
        <v>130</v>
      </c>
      <c r="B905" s="76"/>
      <c r="C905" s="106" t="s">
        <v>393</v>
      </c>
      <c r="D905" s="106" t="s">
        <v>180</v>
      </c>
      <c r="E905" s="78" t="s">
        <v>371</v>
      </c>
      <c r="F905" s="79" t="s">
        <v>50</v>
      </c>
      <c r="G905" s="79" t="s">
        <v>50</v>
      </c>
      <c r="H905" s="80" t="s">
        <v>50</v>
      </c>
      <c r="I905" s="79"/>
      <c r="J905" s="79"/>
      <c r="K905" s="80"/>
      <c r="L905" s="79"/>
      <c r="M905" s="79"/>
      <c r="N905" s="80"/>
      <c r="O905" s="79"/>
      <c r="P905" s="79"/>
      <c r="Q905" s="80"/>
    </row>
    <row r="906" spans="1:17" ht="60" customHeight="1">
      <c r="A906" s="81">
        <v>130</v>
      </c>
      <c r="B906" s="82"/>
      <c r="C906" s="107" t="s">
        <v>393</v>
      </c>
      <c r="D906" s="107" t="s">
        <v>180</v>
      </c>
      <c r="E906" s="84" t="s">
        <v>371</v>
      </c>
      <c r="F906" s="85"/>
      <c r="G906" s="86"/>
      <c r="H906" s="87"/>
      <c r="I906" s="86"/>
      <c r="J906" s="86"/>
      <c r="K906" s="87"/>
      <c r="L906" s="86"/>
      <c r="M906" s="86"/>
      <c r="N906" s="87"/>
      <c r="O906" s="86"/>
      <c r="P906" s="86"/>
      <c r="Q906" s="87"/>
    </row>
    <row r="907" spans="1:17" ht="45" customHeight="1">
      <c r="A907" s="81">
        <v>130</v>
      </c>
      <c r="B907" s="82"/>
      <c r="C907" s="107" t="s">
        <v>393</v>
      </c>
      <c r="D907" s="107" t="s">
        <v>180</v>
      </c>
      <c r="E907" s="84" t="s">
        <v>371</v>
      </c>
      <c r="F907" s="85"/>
      <c r="G907" s="85"/>
      <c r="H907" s="88"/>
      <c r="I907" s="86"/>
      <c r="J907" s="86"/>
      <c r="K907" s="87"/>
      <c r="L907" s="86"/>
      <c r="M907" s="86"/>
      <c r="N907" s="87"/>
      <c r="O907" s="86"/>
      <c r="P907" s="86"/>
      <c r="Q907" s="87"/>
    </row>
    <row r="908" spans="1:17" ht="14.45" customHeight="1">
      <c r="A908" s="81">
        <v>130</v>
      </c>
      <c r="B908" s="82"/>
      <c r="C908" s="107" t="s">
        <v>393</v>
      </c>
      <c r="D908" s="107" t="s">
        <v>180</v>
      </c>
      <c r="E908" s="84" t="s">
        <v>371</v>
      </c>
      <c r="F908" s="89">
        <v>26</v>
      </c>
      <c r="G908" s="85"/>
      <c r="H908" s="88"/>
      <c r="I908" s="86"/>
      <c r="J908" s="86"/>
      <c r="K908" s="87"/>
      <c r="L908" s="86"/>
      <c r="M908" s="86"/>
      <c r="N908" s="87"/>
      <c r="O908" s="86"/>
      <c r="P908" s="86"/>
      <c r="Q908" s="87"/>
    </row>
    <row r="909" spans="1:17" ht="45" customHeight="1">
      <c r="A909" s="81">
        <v>130</v>
      </c>
      <c r="B909" s="82"/>
      <c r="C909" s="107" t="s">
        <v>393</v>
      </c>
      <c r="D909" s="107" t="s">
        <v>180</v>
      </c>
      <c r="E909" s="84" t="s">
        <v>371</v>
      </c>
      <c r="F909" s="85"/>
      <c r="G909" s="85"/>
      <c r="H909" s="88"/>
      <c r="I909" s="86"/>
      <c r="J909" s="86"/>
      <c r="K909" s="87"/>
      <c r="L909" s="86"/>
      <c r="M909" s="86"/>
      <c r="N909" s="87"/>
      <c r="O909" s="86"/>
      <c r="P909" s="86"/>
      <c r="Q909" s="87"/>
    </row>
    <row r="910" spans="1:17" ht="14.45" customHeight="1">
      <c r="A910" s="81">
        <v>130</v>
      </c>
      <c r="B910" s="82"/>
      <c r="C910" s="107" t="s">
        <v>393</v>
      </c>
      <c r="D910" s="107" t="s">
        <v>180</v>
      </c>
      <c r="E910" s="84" t="s">
        <v>371</v>
      </c>
      <c r="F910" s="85"/>
      <c r="G910" s="85"/>
      <c r="H910" s="88"/>
      <c r="I910" s="86"/>
      <c r="J910" s="86"/>
      <c r="K910" s="87"/>
      <c r="L910" s="86"/>
      <c r="M910" s="86"/>
      <c r="N910" s="87"/>
      <c r="O910" s="86"/>
      <c r="P910" s="86"/>
      <c r="Q910" s="87"/>
    </row>
    <row r="911" spans="1:17" ht="24" customHeight="1">
      <c r="A911" s="91">
        <v>130</v>
      </c>
      <c r="B911" s="92"/>
      <c r="C911" s="108" t="s">
        <v>393</v>
      </c>
      <c r="D911" s="108" t="s">
        <v>180</v>
      </c>
      <c r="E911" s="94" t="s">
        <v>371</v>
      </c>
      <c r="F911" s="95" t="s">
        <v>56</v>
      </c>
      <c r="G911" s="96">
        <v>1660</v>
      </c>
      <c r="H911" s="97">
        <v>1660</v>
      </c>
      <c r="I911" s="98"/>
      <c r="J911" s="98"/>
      <c r="K911" s="99"/>
      <c r="L911" s="98"/>
      <c r="M911" s="98"/>
      <c r="N911" s="99"/>
      <c r="O911" s="98"/>
      <c r="P911" s="98"/>
      <c r="Q911" s="99"/>
    </row>
    <row r="912" spans="1:17" ht="14.45" customHeight="1">
      <c r="A912" s="75">
        <v>131</v>
      </c>
      <c r="B912" s="76"/>
      <c r="C912" s="106" t="s">
        <v>394</v>
      </c>
      <c r="D912" s="106" t="s">
        <v>180</v>
      </c>
      <c r="E912" s="78" t="s">
        <v>341</v>
      </c>
      <c r="F912" s="79" t="s">
        <v>50</v>
      </c>
      <c r="G912" s="79" t="s">
        <v>50</v>
      </c>
      <c r="H912" s="80" t="s">
        <v>50</v>
      </c>
      <c r="I912" s="79"/>
      <c r="J912" s="79"/>
      <c r="K912" s="80"/>
      <c r="L912" s="79"/>
      <c r="M912" s="79"/>
      <c r="N912" s="80"/>
      <c r="O912" s="79"/>
      <c r="P912" s="79"/>
      <c r="Q912" s="80"/>
    </row>
    <row r="913" spans="1:17" ht="60" customHeight="1">
      <c r="A913" s="81">
        <v>131</v>
      </c>
      <c r="B913" s="82"/>
      <c r="C913" s="107" t="s">
        <v>394</v>
      </c>
      <c r="D913" s="107" t="s">
        <v>180</v>
      </c>
      <c r="E913" s="84" t="s">
        <v>341</v>
      </c>
      <c r="F913" s="85"/>
      <c r="G913" s="86"/>
      <c r="H913" s="87"/>
      <c r="I913" s="86"/>
      <c r="J913" s="86"/>
      <c r="K913" s="87"/>
      <c r="L913" s="86"/>
      <c r="M913" s="86"/>
      <c r="N913" s="87"/>
      <c r="O913" s="86"/>
      <c r="P913" s="86"/>
      <c r="Q913" s="87"/>
    </row>
    <row r="914" spans="1:17" ht="45" customHeight="1">
      <c r="A914" s="81">
        <v>131</v>
      </c>
      <c r="B914" s="82"/>
      <c r="C914" s="107" t="s">
        <v>394</v>
      </c>
      <c r="D914" s="107" t="s">
        <v>180</v>
      </c>
      <c r="E914" s="84" t="s">
        <v>341</v>
      </c>
      <c r="F914" s="85"/>
      <c r="G914" s="85"/>
      <c r="H914" s="88"/>
      <c r="I914" s="86"/>
      <c r="J914" s="86"/>
      <c r="K914" s="87"/>
      <c r="L914" s="86"/>
      <c r="M914" s="86"/>
      <c r="N914" s="87"/>
      <c r="O914" s="86"/>
      <c r="P914" s="86"/>
      <c r="Q914" s="87"/>
    </row>
    <row r="915" spans="1:17" ht="14.45" customHeight="1">
      <c r="A915" s="81">
        <v>131</v>
      </c>
      <c r="B915" s="82"/>
      <c r="C915" s="107" t="s">
        <v>394</v>
      </c>
      <c r="D915" s="107" t="s">
        <v>180</v>
      </c>
      <c r="E915" s="84" t="s">
        <v>341</v>
      </c>
      <c r="F915" s="89">
        <v>11</v>
      </c>
      <c r="G915" s="89">
        <v>10</v>
      </c>
      <c r="H915" s="88"/>
      <c r="I915" s="86"/>
      <c r="J915" s="86"/>
      <c r="K915" s="87"/>
      <c r="L915" s="86"/>
      <c r="M915" s="86"/>
      <c r="N915" s="87"/>
      <c r="O915" s="86"/>
      <c r="P915" s="86"/>
      <c r="Q915" s="87"/>
    </row>
    <row r="916" spans="1:17" ht="45" customHeight="1">
      <c r="A916" s="81">
        <v>131</v>
      </c>
      <c r="B916" s="82"/>
      <c r="C916" s="107" t="s">
        <v>394</v>
      </c>
      <c r="D916" s="107" t="s">
        <v>180</v>
      </c>
      <c r="E916" s="84" t="s">
        <v>341</v>
      </c>
      <c r="F916" s="85"/>
      <c r="G916" s="85"/>
      <c r="H916" s="88"/>
      <c r="I916" s="86"/>
      <c r="J916" s="86"/>
      <c r="K916" s="87"/>
      <c r="L916" s="86"/>
      <c r="M916" s="86"/>
      <c r="N916" s="87"/>
      <c r="O916" s="86"/>
      <c r="P916" s="86"/>
      <c r="Q916" s="87"/>
    </row>
    <row r="917" spans="1:17" ht="14.45" customHeight="1">
      <c r="A917" s="81">
        <v>131</v>
      </c>
      <c r="B917" s="82"/>
      <c r="C917" s="107" t="s">
        <v>394</v>
      </c>
      <c r="D917" s="107" t="s">
        <v>180</v>
      </c>
      <c r="E917" s="84" t="s">
        <v>341</v>
      </c>
      <c r="F917" s="85"/>
      <c r="G917" s="85"/>
      <c r="H917" s="88"/>
      <c r="I917" s="86"/>
      <c r="J917" s="86"/>
      <c r="K917" s="87"/>
      <c r="L917" s="86"/>
      <c r="M917" s="86"/>
      <c r="N917" s="87"/>
      <c r="O917" s="86"/>
      <c r="P917" s="86"/>
      <c r="Q917" s="87"/>
    </row>
    <row r="918" spans="1:17" ht="24" customHeight="1">
      <c r="A918" s="91">
        <v>131</v>
      </c>
      <c r="B918" s="92"/>
      <c r="C918" s="108" t="s">
        <v>394</v>
      </c>
      <c r="D918" s="108" t="s">
        <v>180</v>
      </c>
      <c r="E918" s="94" t="s">
        <v>341</v>
      </c>
      <c r="F918" s="95" t="s">
        <v>56</v>
      </c>
      <c r="G918" s="96">
        <v>1420</v>
      </c>
      <c r="H918" s="97">
        <v>1420</v>
      </c>
      <c r="I918" s="98"/>
      <c r="J918" s="98"/>
      <c r="K918" s="99"/>
      <c r="L918" s="98"/>
      <c r="M918" s="98"/>
      <c r="N918" s="99"/>
      <c r="O918" s="98"/>
      <c r="P918" s="98"/>
      <c r="Q918" s="99"/>
    </row>
    <row r="919" spans="1:17" ht="14.45" customHeight="1">
      <c r="A919" s="75">
        <v>132</v>
      </c>
      <c r="B919" s="76"/>
      <c r="C919" s="106" t="s">
        <v>395</v>
      </c>
      <c r="D919" s="106" t="s">
        <v>180</v>
      </c>
      <c r="E919" s="78" t="s">
        <v>341</v>
      </c>
      <c r="F919" s="79" t="s">
        <v>50</v>
      </c>
      <c r="G919" s="79" t="s">
        <v>50</v>
      </c>
      <c r="H919" s="80" t="s">
        <v>50</v>
      </c>
      <c r="I919" s="79"/>
      <c r="J919" s="79"/>
      <c r="K919" s="80"/>
      <c r="L919" s="79"/>
      <c r="M919" s="79"/>
      <c r="N919" s="80"/>
      <c r="O919" s="79"/>
      <c r="P919" s="79"/>
      <c r="Q919" s="80"/>
    </row>
    <row r="920" spans="1:17" ht="60" customHeight="1">
      <c r="A920" s="81">
        <v>132</v>
      </c>
      <c r="B920" s="82"/>
      <c r="C920" s="107" t="s">
        <v>395</v>
      </c>
      <c r="D920" s="107" t="s">
        <v>180</v>
      </c>
      <c r="E920" s="84" t="s">
        <v>341</v>
      </c>
      <c r="F920" s="85"/>
      <c r="G920" s="86"/>
      <c r="H920" s="87"/>
      <c r="I920" s="86"/>
      <c r="J920" s="86"/>
      <c r="K920" s="87"/>
      <c r="L920" s="86"/>
      <c r="M920" s="86"/>
      <c r="N920" s="87"/>
      <c r="O920" s="86"/>
      <c r="P920" s="86"/>
      <c r="Q920" s="87"/>
    </row>
    <row r="921" spans="1:17" ht="45" customHeight="1">
      <c r="A921" s="81">
        <v>132</v>
      </c>
      <c r="B921" s="82"/>
      <c r="C921" s="107" t="s">
        <v>395</v>
      </c>
      <c r="D921" s="107" t="s">
        <v>180</v>
      </c>
      <c r="E921" s="84" t="s">
        <v>341</v>
      </c>
      <c r="F921" s="85"/>
      <c r="G921" s="85"/>
      <c r="H921" s="88"/>
      <c r="I921" s="86"/>
      <c r="J921" s="86"/>
      <c r="K921" s="87"/>
      <c r="L921" s="86"/>
      <c r="M921" s="86"/>
      <c r="N921" s="87"/>
      <c r="O921" s="86"/>
      <c r="P921" s="86"/>
      <c r="Q921" s="87"/>
    </row>
    <row r="922" spans="1:17" ht="14.45" customHeight="1">
      <c r="A922" s="81">
        <v>132</v>
      </c>
      <c r="B922" s="82"/>
      <c r="C922" s="107" t="s">
        <v>395</v>
      </c>
      <c r="D922" s="107" t="s">
        <v>180</v>
      </c>
      <c r="E922" s="84" t="s">
        <v>341</v>
      </c>
      <c r="F922" s="89">
        <v>11</v>
      </c>
      <c r="G922" s="89">
        <v>10</v>
      </c>
      <c r="H922" s="88"/>
      <c r="I922" s="86"/>
      <c r="J922" s="86"/>
      <c r="K922" s="87"/>
      <c r="L922" s="86"/>
      <c r="M922" s="86"/>
      <c r="N922" s="87"/>
      <c r="O922" s="86"/>
      <c r="P922" s="86"/>
      <c r="Q922" s="87"/>
    </row>
    <row r="923" spans="1:17" ht="45" customHeight="1">
      <c r="A923" s="81">
        <v>132</v>
      </c>
      <c r="B923" s="82"/>
      <c r="C923" s="107" t="s">
        <v>395</v>
      </c>
      <c r="D923" s="107" t="s">
        <v>180</v>
      </c>
      <c r="E923" s="84" t="s">
        <v>341</v>
      </c>
      <c r="F923" s="85"/>
      <c r="G923" s="85"/>
      <c r="H923" s="88"/>
      <c r="I923" s="86"/>
      <c r="J923" s="86"/>
      <c r="K923" s="87"/>
      <c r="L923" s="86"/>
      <c r="M923" s="86"/>
      <c r="N923" s="87"/>
      <c r="O923" s="86"/>
      <c r="P923" s="86"/>
      <c r="Q923" s="87"/>
    </row>
    <row r="924" spans="1:17" ht="14.45" customHeight="1">
      <c r="A924" s="81">
        <v>132</v>
      </c>
      <c r="B924" s="82"/>
      <c r="C924" s="107" t="s">
        <v>395</v>
      </c>
      <c r="D924" s="107" t="s">
        <v>180</v>
      </c>
      <c r="E924" s="84" t="s">
        <v>341</v>
      </c>
      <c r="F924" s="85"/>
      <c r="G924" s="85"/>
      <c r="H924" s="88"/>
      <c r="I924" s="86"/>
      <c r="J924" s="86"/>
      <c r="K924" s="87"/>
      <c r="L924" s="86"/>
      <c r="M924" s="86"/>
      <c r="N924" s="87"/>
      <c r="O924" s="86"/>
      <c r="P924" s="86"/>
      <c r="Q924" s="87"/>
    </row>
    <row r="925" spans="1:17" ht="24" customHeight="1">
      <c r="A925" s="91">
        <v>132</v>
      </c>
      <c r="B925" s="92"/>
      <c r="C925" s="108" t="s">
        <v>395</v>
      </c>
      <c r="D925" s="108" t="s">
        <v>180</v>
      </c>
      <c r="E925" s="94" t="s">
        <v>341</v>
      </c>
      <c r="F925" s="95" t="s">
        <v>56</v>
      </c>
      <c r="G925" s="96">
        <v>1420</v>
      </c>
      <c r="H925" s="97">
        <v>1420</v>
      </c>
      <c r="I925" s="98"/>
      <c r="J925" s="98"/>
      <c r="K925" s="99"/>
      <c r="L925" s="98"/>
      <c r="M925" s="98"/>
      <c r="N925" s="99"/>
      <c r="O925" s="98"/>
      <c r="P925" s="98"/>
      <c r="Q925" s="99"/>
    </row>
    <row r="926" spans="1:17" ht="14.45" customHeight="1">
      <c r="A926" s="75">
        <v>133</v>
      </c>
      <c r="B926" s="76"/>
      <c r="C926" s="106" t="s">
        <v>396</v>
      </c>
      <c r="D926" s="106" t="s">
        <v>180</v>
      </c>
      <c r="E926" s="78" t="s">
        <v>341</v>
      </c>
      <c r="F926" s="79" t="s">
        <v>50</v>
      </c>
      <c r="G926" s="79" t="s">
        <v>50</v>
      </c>
      <c r="H926" s="80" t="s">
        <v>50</v>
      </c>
      <c r="I926" s="79"/>
      <c r="J926" s="79"/>
      <c r="K926" s="80"/>
      <c r="L926" s="79"/>
      <c r="M926" s="79"/>
      <c r="N926" s="80"/>
      <c r="O926" s="79"/>
      <c r="P926" s="79"/>
      <c r="Q926" s="80"/>
    </row>
    <row r="927" spans="1:17" ht="60" customHeight="1">
      <c r="A927" s="81">
        <v>133</v>
      </c>
      <c r="B927" s="82"/>
      <c r="C927" s="107" t="s">
        <v>396</v>
      </c>
      <c r="D927" s="107" t="s">
        <v>180</v>
      </c>
      <c r="E927" s="84" t="s">
        <v>341</v>
      </c>
      <c r="F927" s="85"/>
      <c r="G927" s="86"/>
      <c r="H927" s="87"/>
      <c r="I927" s="86"/>
      <c r="J927" s="86"/>
      <c r="K927" s="87"/>
      <c r="L927" s="86"/>
      <c r="M927" s="86"/>
      <c r="N927" s="87"/>
      <c r="O927" s="86"/>
      <c r="P927" s="86"/>
      <c r="Q927" s="87"/>
    </row>
    <row r="928" spans="1:17" ht="45" customHeight="1">
      <c r="A928" s="81">
        <v>133</v>
      </c>
      <c r="B928" s="82"/>
      <c r="C928" s="107" t="s">
        <v>396</v>
      </c>
      <c r="D928" s="107" t="s">
        <v>180</v>
      </c>
      <c r="E928" s="84" t="s">
        <v>341</v>
      </c>
      <c r="F928" s="85"/>
      <c r="G928" s="85"/>
      <c r="H928" s="88"/>
      <c r="I928" s="86"/>
      <c r="J928" s="86"/>
      <c r="K928" s="87"/>
      <c r="L928" s="86"/>
      <c r="M928" s="86"/>
      <c r="N928" s="87"/>
      <c r="O928" s="86"/>
      <c r="P928" s="86"/>
      <c r="Q928" s="87"/>
    </row>
    <row r="929" spans="1:17" ht="14.45" customHeight="1">
      <c r="A929" s="81">
        <v>133</v>
      </c>
      <c r="B929" s="82"/>
      <c r="C929" s="107" t="s">
        <v>396</v>
      </c>
      <c r="D929" s="107" t="s">
        <v>180</v>
      </c>
      <c r="E929" s="84" t="s">
        <v>341</v>
      </c>
      <c r="F929" s="89">
        <v>11</v>
      </c>
      <c r="G929" s="89">
        <v>10</v>
      </c>
      <c r="H929" s="88"/>
      <c r="I929" s="86"/>
      <c r="J929" s="86"/>
      <c r="K929" s="87"/>
      <c r="L929" s="86"/>
      <c r="M929" s="86"/>
      <c r="N929" s="87"/>
      <c r="O929" s="86"/>
      <c r="P929" s="86"/>
      <c r="Q929" s="87"/>
    </row>
    <row r="930" spans="1:17" ht="45" customHeight="1">
      <c r="A930" s="81">
        <v>133</v>
      </c>
      <c r="B930" s="82"/>
      <c r="C930" s="107" t="s">
        <v>396</v>
      </c>
      <c r="D930" s="107" t="s">
        <v>180</v>
      </c>
      <c r="E930" s="84" t="s">
        <v>341</v>
      </c>
      <c r="F930" s="85"/>
      <c r="G930" s="85"/>
      <c r="H930" s="88"/>
      <c r="I930" s="86"/>
      <c r="J930" s="86"/>
      <c r="K930" s="87"/>
      <c r="L930" s="86"/>
      <c r="M930" s="86"/>
      <c r="N930" s="87"/>
      <c r="O930" s="86"/>
      <c r="P930" s="86"/>
      <c r="Q930" s="87"/>
    </row>
    <row r="931" spans="1:17" ht="14.45" customHeight="1">
      <c r="A931" s="81">
        <v>133</v>
      </c>
      <c r="B931" s="82"/>
      <c r="C931" s="107" t="s">
        <v>396</v>
      </c>
      <c r="D931" s="107" t="s">
        <v>180</v>
      </c>
      <c r="E931" s="84" t="s">
        <v>341</v>
      </c>
      <c r="F931" s="85"/>
      <c r="G931" s="85"/>
      <c r="H931" s="88"/>
      <c r="I931" s="86"/>
      <c r="J931" s="86"/>
      <c r="K931" s="87"/>
      <c r="L931" s="86"/>
      <c r="M931" s="86"/>
      <c r="N931" s="87"/>
      <c r="O931" s="86"/>
      <c r="P931" s="86"/>
      <c r="Q931" s="87"/>
    </row>
    <row r="932" spans="1:17" ht="24" customHeight="1">
      <c r="A932" s="91">
        <v>133</v>
      </c>
      <c r="B932" s="92"/>
      <c r="C932" s="108" t="s">
        <v>396</v>
      </c>
      <c r="D932" s="108" t="s">
        <v>180</v>
      </c>
      <c r="E932" s="94" t="s">
        <v>341</v>
      </c>
      <c r="F932" s="95" t="s">
        <v>56</v>
      </c>
      <c r="G932" s="96">
        <v>1420</v>
      </c>
      <c r="H932" s="97">
        <v>1420</v>
      </c>
      <c r="I932" s="98"/>
      <c r="J932" s="98"/>
      <c r="K932" s="99"/>
      <c r="L932" s="98"/>
      <c r="M932" s="98"/>
      <c r="N932" s="99"/>
      <c r="O932" s="98"/>
      <c r="P932" s="98"/>
      <c r="Q932" s="99"/>
    </row>
    <row r="933" spans="1:17" ht="14.45" customHeight="1">
      <c r="A933" s="75">
        <v>134</v>
      </c>
      <c r="B933" s="76"/>
      <c r="C933" s="106" t="s">
        <v>396</v>
      </c>
      <c r="D933" s="106" t="s">
        <v>180</v>
      </c>
      <c r="E933" s="78" t="s">
        <v>341</v>
      </c>
      <c r="F933" s="79" t="s">
        <v>50</v>
      </c>
      <c r="G933" s="79" t="s">
        <v>50</v>
      </c>
      <c r="H933" s="80" t="s">
        <v>50</v>
      </c>
      <c r="I933" s="79"/>
      <c r="J933" s="79"/>
      <c r="K933" s="80"/>
      <c r="L933" s="79"/>
      <c r="M933" s="79"/>
      <c r="N933" s="80"/>
      <c r="O933" s="79"/>
      <c r="P933" s="79"/>
      <c r="Q933" s="80"/>
    </row>
    <row r="934" spans="1:17" ht="60" customHeight="1">
      <c r="A934" s="81">
        <v>134</v>
      </c>
      <c r="B934" s="82"/>
      <c r="C934" s="107" t="s">
        <v>396</v>
      </c>
      <c r="D934" s="107" t="s">
        <v>180</v>
      </c>
      <c r="E934" s="84" t="s">
        <v>341</v>
      </c>
      <c r="F934" s="85"/>
      <c r="G934" s="86"/>
      <c r="H934" s="87"/>
      <c r="I934" s="86"/>
      <c r="J934" s="86"/>
      <c r="K934" s="87"/>
      <c r="L934" s="86"/>
      <c r="M934" s="86"/>
      <c r="N934" s="87"/>
      <c r="O934" s="86"/>
      <c r="P934" s="86"/>
      <c r="Q934" s="87"/>
    </row>
    <row r="935" spans="1:17" ht="45" customHeight="1">
      <c r="A935" s="81">
        <v>134</v>
      </c>
      <c r="B935" s="82"/>
      <c r="C935" s="107" t="s">
        <v>396</v>
      </c>
      <c r="D935" s="107" t="s">
        <v>180</v>
      </c>
      <c r="E935" s="84" t="s">
        <v>341</v>
      </c>
      <c r="F935" s="85"/>
      <c r="G935" s="85"/>
      <c r="H935" s="88"/>
      <c r="I935" s="86"/>
      <c r="J935" s="86"/>
      <c r="K935" s="87"/>
      <c r="L935" s="86"/>
      <c r="M935" s="86"/>
      <c r="N935" s="87"/>
      <c r="O935" s="86"/>
      <c r="P935" s="86"/>
      <c r="Q935" s="87"/>
    </row>
    <row r="936" spans="1:17" ht="14.45" customHeight="1">
      <c r="A936" s="81">
        <v>134</v>
      </c>
      <c r="B936" s="82"/>
      <c r="C936" s="107" t="s">
        <v>396</v>
      </c>
      <c r="D936" s="107" t="s">
        <v>180</v>
      </c>
      <c r="E936" s="84" t="s">
        <v>341</v>
      </c>
      <c r="F936" s="89">
        <v>11</v>
      </c>
      <c r="G936" s="89">
        <v>10</v>
      </c>
      <c r="H936" s="88"/>
      <c r="I936" s="86"/>
      <c r="J936" s="86"/>
      <c r="K936" s="87"/>
      <c r="L936" s="86"/>
      <c r="M936" s="86"/>
      <c r="N936" s="87"/>
      <c r="O936" s="86"/>
      <c r="P936" s="86"/>
      <c r="Q936" s="87"/>
    </row>
    <row r="937" spans="1:17" ht="45" customHeight="1">
      <c r="A937" s="81">
        <v>134</v>
      </c>
      <c r="B937" s="82"/>
      <c r="C937" s="107" t="s">
        <v>396</v>
      </c>
      <c r="D937" s="107" t="s">
        <v>180</v>
      </c>
      <c r="E937" s="84" t="s">
        <v>341</v>
      </c>
      <c r="F937" s="85"/>
      <c r="G937" s="85"/>
      <c r="H937" s="88"/>
      <c r="I937" s="86"/>
      <c r="J937" s="86"/>
      <c r="K937" s="87"/>
      <c r="L937" s="86"/>
      <c r="M937" s="86"/>
      <c r="N937" s="87"/>
      <c r="O937" s="86"/>
      <c r="P937" s="86"/>
      <c r="Q937" s="87"/>
    </row>
    <row r="938" spans="1:17" ht="14.45" customHeight="1">
      <c r="A938" s="81">
        <v>134</v>
      </c>
      <c r="B938" s="82"/>
      <c r="C938" s="107" t="s">
        <v>396</v>
      </c>
      <c r="D938" s="107" t="s">
        <v>180</v>
      </c>
      <c r="E938" s="84" t="s">
        <v>341</v>
      </c>
      <c r="F938" s="85"/>
      <c r="G938" s="85"/>
      <c r="H938" s="88"/>
      <c r="I938" s="86"/>
      <c r="J938" s="86"/>
      <c r="K938" s="87"/>
      <c r="L938" s="86"/>
      <c r="M938" s="86"/>
      <c r="N938" s="87"/>
      <c r="O938" s="86"/>
      <c r="P938" s="86"/>
      <c r="Q938" s="87"/>
    </row>
    <row r="939" spans="1:17" ht="24" customHeight="1">
      <c r="A939" s="91">
        <v>134</v>
      </c>
      <c r="B939" s="92"/>
      <c r="C939" s="108" t="s">
        <v>396</v>
      </c>
      <c r="D939" s="108" t="s">
        <v>180</v>
      </c>
      <c r="E939" s="94" t="s">
        <v>341</v>
      </c>
      <c r="F939" s="95" t="s">
        <v>56</v>
      </c>
      <c r="G939" s="96">
        <v>1420</v>
      </c>
      <c r="H939" s="97">
        <v>1420</v>
      </c>
      <c r="I939" s="98"/>
      <c r="J939" s="98"/>
      <c r="K939" s="99"/>
      <c r="L939" s="98"/>
      <c r="M939" s="98"/>
      <c r="N939" s="99"/>
      <c r="O939" s="98"/>
      <c r="P939" s="98"/>
      <c r="Q939" s="99"/>
    </row>
    <row r="940" spans="1:17" ht="14.45" customHeight="1">
      <c r="A940" s="75">
        <v>135</v>
      </c>
      <c r="B940" s="76"/>
      <c r="C940" s="106" t="s">
        <v>397</v>
      </c>
      <c r="D940" s="106" t="s">
        <v>180</v>
      </c>
      <c r="E940" s="78" t="s">
        <v>341</v>
      </c>
      <c r="F940" s="79" t="s">
        <v>50</v>
      </c>
      <c r="G940" s="79" t="s">
        <v>50</v>
      </c>
      <c r="H940" s="80" t="s">
        <v>50</v>
      </c>
      <c r="I940" s="79"/>
      <c r="J940" s="79"/>
      <c r="K940" s="80"/>
      <c r="L940" s="79"/>
      <c r="M940" s="79"/>
      <c r="N940" s="80"/>
      <c r="O940" s="79"/>
      <c r="P940" s="79"/>
      <c r="Q940" s="80"/>
    </row>
    <row r="941" spans="1:17" ht="60" customHeight="1">
      <c r="A941" s="81">
        <v>135</v>
      </c>
      <c r="B941" s="82"/>
      <c r="C941" s="107" t="s">
        <v>397</v>
      </c>
      <c r="D941" s="107" t="s">
        <v>180</v>
      </c>
      <c r="E941" s="84" t="s">
        <v>341</v>
      </c>
      <c r="F941" s="85"/>
      <c r="G941" s="86"/>
      <c r="H941" s="87"/>
      <c r="I941" s="86"/>
      <c r="J941" s="86"/>
      <c r="K941" s="87"/>
      <c r="L941" s="86"/>
      <c r="M941" s="86"/>
      <c r="N941" s="87"/>
      <c r="O941" s="86"/>
      <c r="P941" s="86"/>
      <c r="Q941" s="87"/>
    </row>
    <row r="942" spans="1:17" ht="45" customHeight="1">
      <c r="A942" s="81">
        <v>135</v>
      </c>
      <c r="B942" s="82"/>
      <c r="C942" s="107" t="s">
        <v>397</v>
      </c>
      <c r="D942" s="107" t="s">
        <v>180</v>
      </c>
      <c r="E942" s="84" t="s">
        <v>341</v>
      </c>
      <c r="F942" s="85"/>
      <c r="G942" s="85"/>
      <c r="H942" s="88"/>
      <c r="I942" s="86"/>
      <c r="J942" s="86"/>
      <c r="K942" s="87"/>
      <c r="L942" s="86"/>
      <c r="M942" s="86"/>
      <c r="N942" s="87"/>
      <c r="O942" s="86"/>
      <c r="P942" s="86"/>
      <c r="Q942" s="87"/>
    </row>
    <row r="943" spans="1:17" ht="14.45" customHeight="1">
      <c r="A943" s="81">
        <v>135</v>
      </c>
      <c r="B943" s="82"/>
      <c r="C943" s="107" t="s">
        <v>397</v>
      </c>
      <c r="D943" s="107" t="s">
        <v>180</v>
      </c>
      <c r="E943" s="84" t="s">
        <v>341</v>
      </c>
      <c r="F943" s="89">
        <v>11</v>
      </c>
      <c r="G943" s="89">
        <v>10</v>
      </c>
      <c r="H943" s="88"/>
      <c r="I943" s="86"/>
      <c r="J943" s="86"/>
      <c r="K943" s="87"/>
      <c r="L943" s="86"/>
      <c r="M943" s="86"/>
      <c r="N943" s="87"/>
      <c r="O943" s="86"/>
      <c r="P943" s="86"/>
      <c r="Q943" s="87"/>
    </row>
    <row r="944" spans="1:17" ht="45" customHeight="1">
      <c r="A944" s="81">
        <v>135</v>
      </c>
      <c r="B944" s="82"/>
      <c r="C944" s="107" t="s">
        <v>397</v>
      </c>
      <c r="D944" s="107" t="s">
        <v>180</v>
      </c>
      <c r="E944" s="84" t="s">
        <v>341</v>
      </c>
      <c r="F944" s="85"/>
      <c r="G944" s="85"/>
      <c r="H944" s="88"/>
      <c r="I944" s="86"/>
      <c r="J944" s="86"/>
      <c r="K944" s="87"/>
      <c r="L944" s="86"/>
      <c r="M944" s="86"/>
      <c r="N944" s="87"/>
      <c r="O944" s="86"/>
      <c r="P944" s="86"/>
      <c r="Q944" s="87"/>
    </row>
    <row r="945" spans="1:17" ht="14.45" customHeight="1">
      <c r="A945" s="81">
        <v>135</v>
      </c>
      <c r="B945" s="82"/>
      <c r="C945" s="107" t="s">
        <v>397</v>
      </c>
      <c r="D945" s="107" t="s">
        <v>180</v>
      </c>
      <c r="E945" s="84" t="s">
        <v>341</v>
      </c>
      <c r="F945" s="85"/>
      <c r="G945" s="85"/>
      <c r="H945" s="88"/>
      <c r="I945" s="86"/>
      <c r="J945" s="86"/>
      <c r="K945" s="87"/>
      <c r="L945" s="86"/>
      <c r="M945" s="86"/>
      <c r="N945" s="87"/>
      <c r="O945" s="86"/>
      <c r="P945" s="86"/>
      <c r="Q945" s="87"/>
    </row>
    <row r="946" spans="1:17" ht="24" customHeight="1">
      <c r="A946" s="91">
        <v>135</v>
      </c>
      <c r="B946" s="92"/>
      <c r="C946" s="108" t="s">
        <v>397</v>
      </c>
      <c r="D946" s="108" t="s">
        <v>180</v>
      </c>
      <c r="E946" s="94" t="s">
        <v>341</v>
      </c>
      <c r="F946" s="95" t="s">
        <v>56</v>
      </c>
      <c r="G946" s="96">
        <v>1420</v>
      </c>
      <c r="H946" s="97">
        <v>1420</v>
      </c>
      <c r="I946" s="98"/>
      <c r="J946" s="98"/>
      <c r="K946" s="99"/>
      <c r="L946" s="98"/>
      <c r="M946" s="98"/>
      <c r="N946" s="99"/>
      <c r="O946" s="98"/>
      <c r="P946" s="98"/>
      <c r="Q946" s="99"/>
    </row>
    <row r="947" spans="1:17" ht="14.45" customHeight="1">
      <c r="A947" s="75">
        <v>136</v>
      </c>
      <c r="B947" s="76"/>
      <c r="C947" s="145" t="s">
        <v>398</v>
      </c>
      <c r="D947" s="145" t="s">
        <v>264</v>
      </c>
      <c r="E947" s="78" t="s">
        <v>341</v>
      </c>
      <c r="F947" s="79" t="s">
        <v>50</v>
      </c>
      <c r="G947" s="79" t="s">
        <v>50</v>
      </c>
      <c r="H947" s="80" t="s">
        <v>50</v>
      </c>
      <c r="I947" s="79"/>
      <c r="J947" s="79"/>
      <c r="K947" s="80"/>
      <c r="L947" s="79"/>
      <c r="M947" s="79"/>
      <c r="N947" s="80"/>
      <c r="O947" s="79"/>
      <c r="P947" s="79"/>
      <c r="Q947" s="80"/>
    </row>
    <row r="948" spans="1:17" ht="60" customHeight="1">
      <c r="A948" s="81">
        <v>136</v>
      </c>
      <c r="B948" s="82"/>
      <c r="C948" s="143" t="s">
        <v>398</v>
      </c>
      <c r="D948" s="143" t="s">
        <v>264</v>
      </c>
      <c r="E948" s="84" t="s">
        <v>341</v>
      </c>
      <c r="F948" s="85"/>
      <c r="G948" s="86"/>
      <c r="H948" s="87"/>
      <c r="I948" s="86"/>
      <c r="J948" s="86"/>
      <c r="K948" s="87"/>
      <c r="L948" s="86"/>
      <c r="M948" s="86"/>
      <c r="N948" s="87"/>
      <c r="O948" s="86"/>
      <c r="P948" s="86"/>
      <c r="Q948" s="87"/>
    </row>
    <row r="949" spans="1:17" ht="45" customHeight="1">
      <c r="A949" s="81">
        <v>136</v>
      </c>
      <c r="B949" s="82"/>
      <c r="C949" s="143" t="s">
        <v>398</v>
      </c>
      <c r="D949" s="143" t="s">
        <v>264</v>
      </c>
      <c r="E949" s="84" t="s">
        <v>341</v>
      </c>
      <c r="F949" s="85"/>
      <c r="G949" s="85"/>
      <c r="H949" s="88"/>
      <c r="I949" s="86"/>
      <c r="J949" s="86"/>
      <c r="K949" s="87"/>
      <c r="L949" s="86"/>
      <c r="M949" s="86"/>
      <c r="N949" s="87"/>
      <c r="O949" s="86"/>
      <c r="P949" s="86"/>
      <c r="Q949" s="87"/>
    </row>
    <row r="950" spans="1:17" ht="14.45" customHeight="1">
      <c r="A950" s="81">
        <v>136</v>
      </c>
      <c r="B950" s="82"/>
      <c r="C950" s="143" t="s">
        <v>398</v>
      </c>
      <c r="D950" s="143" t="s">
        <v>264</v>
      </c>
      <c r="E950" s="84" t="s">
        <v>341</v>
      </c>
      <c r="F950" s="89">
        <v>6</v>
      </c>
      <c r="G950" s="89">
        <v>9</v>
      </c>
      <c r="H950" s="88"/>
      <c r="I950" s="86"/>
      <c r="J950" s="86"/>
      <c r="K950" s="87"/>
      <c r="L950" s="86"/>
      <c r="M950" s="86"/>
      <c r="N950" s="87"/>
      <c r="O950" s="86"/>
      <c r="P950" s="86"/>
      <c r="Q950" s="87"/>
    </row>
    <row r="951" spans="1:17" ht="45" customHeight="1">
      <c r="A951" s="81">
        <v>136</v>
      </c>
      <c r="B951" s="82"/>
      <c r="C951" s="143" t="s">
        <v>398</v>
      </c>
      <c r="D951" s="143" t="s">
        <v>264</v>
      </c>
      <c r="E951" s="84" t="s">
        <v>341</v>
      </c>
      <c r="F951" s="85"/>
      <c r="G951" s="85"/>
      <c r="H951" s="88"/>
      <c r="I951" s="86"/>
      <c r="J951" s="86"/>
      <c r="K951" s="87"/>
      <c r="L951" s="86"/>
      <c r="M951" s="86"/>
      <c r="N951" s="87"/>
      <c r="O951" s="86"/>
      <c r="P951" s="86"/>
      <c r="Q951" s="87"/>
    </row>
    <row r="952" spans="1:17" ht="14.45" customHeight="1">
      <c r="A952" s="81">
        <v>136</v>
      </c>
      <c r="B952" s="82"/>
      <c r="C952" s="143" t="s">
        <v>398</v>
      </c>
      <c r="D952" s="143" t="s">
        <v>264</v>
      </c>
      <c r="E952" s="84" t="s">
        <v>341</v>
      </c>
      <c r="F952" s="85"/>
      <c r="G952" s="85"/>
      <c r="H952" s="88"/>
      <c r="I952" s="86"/>
      <c r="J952" s="86"/>
      <c r="K952" s="87"/>
      <c r="L952" s="86"/>
      <c r="M952" s="86"/>
      <c r="N952" s="87"/>
      <c r="O952" s="86"/>
      <c r="P952" s="86"/>
      <c r="Q952" s="87"/>
    </row>
    <row r="953" spans="1:17" ht="24" customHeight="1" thickBot="1">
      <c r="A953" s="91">
        <v>136</v>
      </c>
      <c r="B953" s="92"/>
      <c r="C953" s="144" t="s">
        <v>398</v>
      </c>
      <c r="D953" s="144" t="s">
        <v>264</v>
      </c>
      <c r="E953" s="94" t="s">
        <v>341</v>
      </c>
      <c r="F953" s="95" t="s">
        <v>56</v>
      </c>
      <c r="G953" s="96">
        <v>528</v>
      </c>
      <c r="H953" s="97">
        <v>528</v>
      </c>
      <c r="I953" s="98"/>
      <c r="J953" s="98"/>
      <c r="K953" s="99"/>
      <c r="L953" s="98"/>
      <c r="M953" s="98"/>
      <c r="N953" s="99"/>
      <c r="O953" s="98"/>
      <c r="P953" s="98"/>
      <c r="Q953" s="99"/>
    </row>
    <row r="954" spans="1:17" ht="14.45" customHeight="1" thickTop="1">
      <c r="A954" s="137">
        <v>137</v>
      </c>
      <c r="B954" s="138"/>
      <c r="C954" s="139" t="s">
        <v>399</v>
      </c>
      <c r="D954" s="139" t="s">
        <v>264</v>
      </c>
      <c r="E954" s="140" t="s">
        <v>341</v>
      </c>
      <c r="F954" s="141" t="s">
        <v>50</v>
      </c>
      <c r="G954" s="141" t="s">
        <v>50</v>
      </c>
      <c r="H954" s="142" t="s">
        <v>50</v>
      </c>
      <c r="I954" s="79"/>
      <c r="J954" s="79"/>
      <c r="K954" s="80"/>
      <c r="L954" s="79"/>
      <c r="M954" s="79"/>
      <c r="N954" s="80"/>
      <c r="O954" s="79"/>
      <c r="P954" s="79"/>
      <c r="Q954" s="80"/>
    </row>
    <row r="955" spans="1:17" ht="60" customHeight="1">
      <c r="A955" s="81">
        <v>137</v>
      </c>
      <c r="B955" s="82"/>
      <c r="C955" s="143" t="s">
        <v>399</v>
      </c>
      <c r="D955" s="143" t="s">
        <v>264</v>
      </c>
      <c r="E955" s="84" t="s">
        <v>341</v>
      </c>
      <c r="F955" s="85"/>
      <c r="G955" s="86"/>
      <c r="H955" s="87"/>
      <c r="I955" s="86"/>
      <c r="J955" s="86"/>
      <c r="K955" s="87"/>
      <c r="L955" s="86"/>
      <c r="M955" s="86"/>
      <c r="N955" s="87"/>
      <c r="O955" s="86"/>
      <c r="P955" s="86"/>
      <c r="Q955" s="87"/>
    </row>
    <row r="956" spans="1:17" ht="45" customHeight="1">
      <c r="A956" s="81">
        <v>137</v>
      </c>
      <c r="B956" s="82"/>
      <c r="C956" s="143" t="s">
        <v>399</v>
      </c>
      <c r="D956" s="143" t="s">
        <v>264</v>
      </c>
      <c r="E956" s="84" t="s">
        <v>341</v>
      </c>
      <c r="F956" s="85"/>
      <c r="G956" s="85"/>
      <c r="H956" s="88"/>
      <c r="I956" s="86"/>
      <c r="J956" s="86"/>
      <c r="K956" s="87"/>
      <c r="L956" s="86"/>
      <c r="M956" s="86"/>
      <c r="N956" s="87"/>
      <c r="O956" s="86"/>
      <c r="P956" s="86"/>
      <c r="Q956" s="87"/>
    </row>
    <row r="957" spans="1:17" ht="14.45" customHeight="1">
      <c r="A957" s="81">
        <v>137</v>
      </c>
      <c r="B957" s="82"/>
      <c r="C957" s="143" t="s">
        <v>399</v>
      </c>
      <c r="D957" s="143" t="s">
        <v>264</v>
      </c>
      <c r="E957" s="84" t="s">
        <v>341</v>
      </c>
      <c r="F957" s="89">
        <v>6</v>
      </c>
      <c r="G957" s="89">
        <v>9</v>
      </c>
      <c r="H957" s="88"/>
      <c r="I957" s="86"/>
      <c r="J957" s="86"/>
      <c r="K957" s="87"/>
      <c r="L957" s="86"/>
      <c r="M957" s="86"/>
      <c r="N957" s="87"/>
      <c r="O957" s="86"/>
      <c r="P957" s="86"/>
      <c r="Q957" s="87"/>
    </row>
    <row r="958" spans="1:17" ht="45" customHeight="1">
      <c r="A958" s="81">
        <v>137</v>
      </c>
      <c r="B958" s="82"/>
      <c r="C958" s="143" t="s">
        <v>399</v>
      </c>
      <c r="D958" s="143" t="s">
        <v>264</v>
      </c>
      <c r="E958" s="84" t="s">
        <v>341</v>
      </c>
      <c r="F958" s="85"/>
      <c r="G958" s="85"/>
      <c r="H958" s="88"/>
      <c r="I958" s="86"/>
      <c r="J958" s="86"/>
      <c r="K958" s="87"/>
      <c r="L958" s="86"/>
      <c r="M958" s="86"/>
      <c r="N958" s="87"/>
      <c r="O958" s="86"/>
      <c r="P958" s="86"/>
      <c r="Q958" s="87"/>
    </row>
    <row r="959" spans="1:17" ht="14.45" customHeight="1">
      <c r="A959" s="81">
        <v>137</v>
      </c>
      <c r="B959" s="82"/>
      <c r="C959" s="143" t="s">
        <v>399</v>
      </c>
      <c r="D959" s="143" t="s">
        <v>264</v>
      </c>
      <c r="E959" s="84" t="s">
        <v>341</v>
      </c>
      <c r="F959" s="85"/>
      <c r="G959" s="85"/>
      <c r="H959" s="88"/>
      <c r="I959" s="86"/>
      <c r="J959" s="86"/>
      <c r="K959" s="87"/>
      <c r="L959" s="86"/>
      <c r="M959" s="86"/>
      <c r="N959" s="87"/>
      <c r="O959" s="86"/>
      <c r="P959" s="86"/>
      <c r="Q959" s="87"/>
    </row>
    <row r="960" spans="1:17" ht="24" customHeight="1" thickBot="1">
      <c r="A960" s="91">
        <v>137</v>
      </c>
      <c r="B960" s="92"/>
      <c r="C960" s="144" t="s">
        <v>399</v>
      </c>
      <c r="D960" s="144" t="s">
        <v>264</v>
      </c>
      <c r="E960" s="94" t="s">
        <v>341</v>
      </c>
      <c r="F960" s="95" t="s">
        <v>56</v>
      </c>
      <c r="G960" s="96">
        <v>528</v>
      </c>
      <c r="H960" s="97">
        <v>528</v>
      </c>
      <c r="I960" s="98"/>
      <c r="J960" s="98"/>
      <c r="K960" s="99"/>
      <c r="L960" s="98"/>
      <c r="M960" s="98"/>
      <c r="N960" s="99"/>
      <c r="O960" s="98"/>
      <c r="P960" s="98"/>
      <c r="Q960" s="99"/>
    </row>
    <row r="961" s="11" customFormat="1" ht="14.45" customHeight="1" thickTop="1"/>
    <row r="962" s="11" customFormat="1" ht="60" customHeight="1"/>
    <row r="963" s="11" customFormat="1" ht="45" customHeight="1"/>
    <row r="964" s="11" customFormat="1" ht="14.45" customHeight="1"/>
    <row r="965" s="11" customFormat="1" ht="45" customHeight="1"/>
    <row r="966" s="11" customFormat="1" ht="14.45" customHeight="1"/>
    <row r="967" s="11" customFormat="1" ht="24" customHeight="1"/>
    <row r="968" s="11" customFormat="1" ht="14.45" customHeight="1"/>
    <row r="969" s="11" customFormat="1" ht="60" customHeight="1"/>
    <row r="970" s="11" customFormat="1" ht="45" customHeight="1"/>
    <row r="971" s="11" customFormat="1" ht="14.45" customHeight="1"/>
    <row r="972" s="11" customFormat="1" ht="45" customHeight="1"/>
    <row r="973" s="11" customFormat="1" ht="14.45" customHeight="1"/>
    <row r="974" s="11" customFormat="1" ht="24" customHeight="1"/>
    <row r="975" s="11" customFormat="1" ht="14.45" customHeight="1"/>
    <row r="976" s="11" customFormat="1" ht="60" customHeight="1"/>
    <row r="977" s="11" customFormat="1" ht="45" customHeight="1"/>
    <row r="978" s="11" customFormat="1" ht="14.45" customHeight="1"/>
    <row r="979" s="11" customFormat="1" ht="45" customHeight="1"/>
    <row r="980" s="11" customFormat="1" ht="14.45" customHeight="1"/>
    <row r="981" s="11" customFormat="1" ht="24" customHeight="1"/>
    <row r="982" s="11" customFormat="1" ht="14.45" customHeight="1"/>
    <row r="983" s="11" customFormat="1" ht="60" customHeight="1"/>
    <row r="984" s="11" customFormat="1" ht="45" customHeight="1"/>
    <row r="985" s="11" customFormat="1" ht="14.45" customHeight="1"/>
    <row r="986" s="11" customFormat="1" ht="45" customHeight="1"/>
    <row r="987" s="11" customFormat="1" ht="14.45" customHeight="1"/>
    <row r="988" s="11" customFormat="1" ht="24" customHeight="1"/>
    <row r="989" s="11" customFormat="1" ht="14.45" customHeight="1"/>
    <row r="990" s="11" customFormat="1" ht="60" customHeight="1"/>
    <row r="991" s="11" customFormat="1" ht="45" customHeight="1"/>
    <row r="992" s="11" customFormat="1" ht="14.45" customHeight="1"/>
    <row r="993" s="11" customFormat="1" ht="45" customHeight="1"/>
    <row r="994" s="11" customFormat="1" ht="14.45" customHeight="1"/>
    <row r="995" s="11" customFormat="1" ht="24" customHeight="1"/>
    <row r="996" s="11" customFormat="1" ht="14.45" customHeight="1"/>
    <row r="997" s="11" customFormat="1" ht="60" customHeight="1"/>
    <row r="998" s="11" customFormat="1" ht="45" customHeight="1"/>
    <row r="999" s="11" customFormat="1" ht="14.45" customHeight="1"/>
    <row r="1000" s="11" customFormat="1" ht="45" customHeight="1"/>
    <row r="1001" s="11" customFormat="1" ht="14.45" customHeight="1"/>
    <row r="1002" s="11" customFormat="1" ht="24" customHeight="1"/>
    <row r="1003" s="11" customFormat="1" ht="14.45" customHeight="1"/>
    <row r="1004" s="11" customFormat="1" ht="60" customHeight="1"/>
    <row r="1005" s="11" customFormat="1" ht="45" customHeight="1"/>
    <row r="1006" s="11" customFormat="1" ht="14.45" customHeight="1"/>
    <row r="1007" s="11" customFormat="1" ht="45" customHeight="1"/>
    <row r="1008" s="11" customFormat="1" ht="14.45" customHeight="1"/>
    <row r="1009" s="11" customFormat="1" ht="24" customHeight="1"/>
    <row r="1010" s="11" customFormat="1" ht="14.45" customHeight="1"/>
    <row r="1011" s="11" customFormat="1" ht="60" customHeight="1"/>
    <row r="1012" s="11" customFormat="1" ht="45" customHeight="1"/>
    <row r="1013" s="11" customFormat="1" ht="14.45" customHeight="1"/>
    <row r="1014" s="11" customFormat="1" ht="45" customHeight="1"/>
    <row r="1015" s="11" customFormat="1" ht="14.45" customHeight="1"/>
    <row r="1016" s="11" customFormat="1" ht="24" customHeight="1"/>
    <row r="1017" s="11" customFormat="1" ht="14.45" customHeight="1"/>
    <row r="1018" s="11" customFormat="1" ht="60" customHeight="1"/>
    <row r="1019" s="11" customFormat="1" ht="45" customHeight="1"/>
    <row r="1020" s="11" customFormat="1" ht="14.45" customHeight="1"/>
    <row r="1021" s="11" customFormat="1" ht="45" customHeight="1"/>
    <row r="1022" s="11" customFormat="1" ht="14.45" customHeight="1"/>
    <row r="1023" s="11" customFormat="1" ht="24" customHeight="1"/>
    <row r="1024" s="11" customFormat="1" ht="14.45" customHeight="1"/>
    <row r="1025" s="11" customFormat="1" ht="60" customHeight="1"/>
    <row r="1026" s="11" customFormat="1" ht="45" customHeight="1"/>
    <row r="1027" s="11" customFormat="1" ht="14.45" customHeight="1"/>
    <row r="1028" s="11" customFormat="1" ht="45" customHeight="1"/>
    <row r="1029" s="11" customFormat="1" ht="14.45" customHeight="1"/>
    <row r="1030" s="11" customFormat="1" ht="24" customHeight="1"/>
    <row r="1031" s="11" customFormat="1" ht="14.45" customHeight="1"/>
    <row r="1032" s="11" customFormat="1" ht="60" customHeight="1"/>
    <row r="1033" s="11" customFormat="1" ht="45" customHeight="1"/>
    <row r="1034" s="11" customFormat="1" ht="14.45" customHeight="1"/>
    <row r="1035" s="11" customFormat="1" ht="45" customHeight="1"/>
    <row r="1036" s="11" customFormat="1" ht="14.45" customHeight="1"/>
    <row r="1037" s="11" customFormat="1" ht="24" customHeight="1"/>
    <row r="1038" s="11" customFormat="1" ht="14.45" customHeight="1"/>
    <row r="1039" s="11" customFormat="1" ht="60" customHeight="1"/>
    <row r="1040" s="11" customFormat="1" ht="45" customHeight="1"/>
    <row r="1041" s="11" customFormat="1" ht="14.45" customHeight="1"/>
    <row r="1042" s="11" customFormat="1" ht="45" customHeight="1"/>
    <row r="1043" s="11" customFormat="1" ht="14.45" customHeight="1"/>
    <row r="1044" s="11" customFormat="1" ht="24" customHeight="1"/>
    <row r="1045" s="11" customFormat="1" ht="14.45" customHeight="1"/>
    <row r="1046" s="11" customFormat="1" ht="60" customHeight="1"/>
    <row r="1047" s="11" customFormat="1" ht="45" customHeight="1"/>
    <row r="1048" s="11" customFormat="1" ht="14.45" customHeight="1"/>
    <row r="1049" s="11" customFormat="1" ht="45" customHeight="1"/>
    <row r="1050" s="11" customFormat="1" ht="14.45" customHeight="1"/>
    <row r="1051" s="11" customFormat="1" ht="24" customHeight="1"/>
    <row r="1052" s="11" customFormat="1" ht="14.45" customHeight="1"/>
    <row r="1053" s="11" customFormat="1" ht="60" customHeight="1"/>
    <row r="1054" s="11" customFormat="1" ht="45" customHeight="1"/>
    <row r="1055" s="11" customFormat="1" ht="14.45" customHeight="1"/>
    <row r="1056" s="11" customFormat="1" ht="45" customHeight="1"/>
    <row r="1057" s="11" customFormat="1" ht="14.45" customHeight="1"/>
    <row r="1058" s="11" customFormat="1" ht="24" customHeight="1"/>
    <row r="1059" s="11" customFormat="1" ht="14.45" customHeight="1"/>
    <row r="1060" s="11" customFormat="1" ht="60" customHeight="1"/>
    <row r="1061" s="11" customFormat="1" ht="45" customHeight="1"/>
    <row r="1062" s="11" customFormat="1" ht="14.45" customHeight="1"/>
    <row r="1063" s="11" customFormat="1" ht="45" customHeight="1"/>
    <row r="1064" s="11" customFormat="1" ht="14.45" customHeight="1"/>
    <row r="1065" s="11" customFormat="1" ht="24" customHeight="1"/>
    <row r="1066" s="11" customFormat="1" ht="14.45" customHeight="1"/>
    <row r="1067" s="11" customFormat="1" ht="60" customHeight="1"/>
    <row r="1068" s="11" customFormat="1" ht="45" customHeight="1"/>
    <row r="1069" s="11" customFormat="1" ht="14.45" customHeight="1"/>
    <row r="1070" s="11" customFormat="1" ht="45" customHeight="1"/>
    <row r="1071" s="11" customFormat="1" ht="14.45" customHeight="1"/>
    <row r="1072" s="11" customFormat="1" ht="24" customHeight="1"/>
    <row r="1073" s="11" customFormat="1" ht="14.45" customHeight="1"/>
    <row r="1074" s="11" customFormat="1" ht="60" customHeight="1"/>
    <row r="1075" s="11" customFormat="1" ht="45" customHeight="1"/>
    <row r="1076" s="11" customFormat="1" ht="14.45" customHeight="1"/>
    <row r="1077" s="11" customFormat="1" ht="45" customHeight="1"/>
    <row r="1078" s="11" customFormat="1" ht="14.45" customHeight="1"/>
    <row r="1079" s="11" customFormat="1" ht="24" customHeight="1"/>
    <row r="1080" s="11" customFormat="1" ht="14.45" customHeight="1"/>
    <row r="1081" s="11" customFormat="1" ht="60" customHeight="1"/>
    <row r="1082" s="11" customFormat="1" ht="45" customHeight="1"/>
    <row r="1083" s="11" customFormat="1" ht="14.45" customHeight="1"/>
    <row r="1084" s="11" customFormat="1" ht="45" customHeight="1"/>
    <row r="1085" s="11" customFormat="1" ht="14.45" customHeight="1"/>
    <row r="1086" s="11" customFormat="1" ht="24" customHeight="1"/>
    <row r="1087" s="11" customFormat="1" ht="14.45" customHeight="1"/>
    <row r="1088" s="11" customFormat="1" ht="60" customHeight="1"/>
    <row r="1089" s="11" customFormat="1" ht="45" customHeight="1"/>
    <row r="1090" s="11" customFormat="1" ht="14.45" customHeight="1"/>
    <row r="1091" s="11" customFormat="1" ht="45" customHeight="1"/>
    <row r="1092" s="11" customFormat="1" ht="14.45" customHeight="1"/>
    <row r="1093" s="11" customFormat="1" ht="24" customHeight="1"/>
    <row r="1094" s="11" customFormat="1" ht="14.45" customHeight="1"/>
    <row r="1095" s="11" customFormat="1" ht="60" customHeight="1"/>
    <row r="1096" s="11" customFormat="1" ht="45" customHeight="1"/>
    <row r="1097" s="11" customFormat="1" ht="14.45" customHeight="1"/>
    <row r="1098" s="11" customFormat="1" ht="45" customHeight="1"/>
    <row r="1099" s="11" customFormat="1" ht="14.45" customHeight="1"/>
    <row r="1100" s="11" customFormat="1" ht="24" customHeight="1"/>
    <row r="1101" s="11" customFormat="1" ht="14.45" customHeight="1"/>
    <row r="1102" s="11" customFormat="1" ht="60" customHeight="1"/>
    <row r="1103" s="11" customFormat="1" ht="45" customHeight="1"/>
    <row r="1104" s="11" customFormat="1" ht="14.45" customHeight="1"/>
    <row r="1105" s="11" customFormat="1" ht="45" customHeight="1"/>
    <row r="1106" s="11" customFormat="1" ht="14.45" customHeight="1"/>
    <row r="1107" s="11" customFormat="1" ht="24" customHeight="1"/>
    <row r="1108" s="11" customFormat="1" ht="14.45" customHeight="1"/>
    <row r="1109" s="11" customFormat="1" ht="60" customHeight="1"/>
    <row r="1110" s="11" customFormat="1" ht="45" customHeight="1"/>
    <row r="1111" s="11" customFormat="1" ht="14.45" customHeight="1"/>
    <row r="1112" s="11" customFormat="1" ht="45" customHeight="1"/>
    <row r="1113" s="11" customFormat="1" ht="14.45" customHeight="1"/>
    <row r="1114" s="11" customFormat="1" ht="24" customHeight="1"/>
    <row r="1115" s="11" customFormat="1" ht="14.45" customHeight="1"/>
    <row r="1116" s="11" customFormat="1" ht="60" customHeight="1"/>
    <row r="1117" s="11" customFormat="1" ht="45" customHeight="1"/>
    <row r="1118" s="11" customFormat="1" ht="14.45" customHeight="1"/>
    <row r="1119" s="11" customFormat="1" ht="45" customHeight="1"/>
    <row r="1120" s="11" customFormat="1" ht="14.45" customHeight="1"/>
    <row r="1121" s="11" customFormat="1" ht="24" customHeight="1"/>
    <row r="1122" s="11" customFormat="1" ht="14.45" customHeight="1"/>
    <row r="1123" s="11" customFormat="1" ht="60" customHeight="1"/>
    <row r="1124" s="11" customFormat="1" ht="45" customHeight="1"/>
    <row r="1125" s="11" customFormat="1" ht="14.45" customHeight="1"/>
    <row r="1126" s="11" customFormat="1" ht="45" customHeight="1"/>
    <row r="1127" s="11" customFormat="1" ht="14.45" customHeight="1"/>
    <row r="1128" s="11" customFormat="1" ht="24" customHeight="1"/>
    <row r="1129" s="11" customFormat="1" ht="14.45" customHeight="1"/>
    <row r="1130" s="11" customFormat="1" ht="60" customHeight="1"/>
    <row r="1131" s="11" customFormat="1" ht="45" customHeight="1"/>
    <row r="1132" s="11" customFormat="1" ht="14.45" customHeight="1"/>
    <row r="1133" s="11" customFormat="1" ht="45" customHeight="1"/>
    <row r="1134" s="11" customFormat="1" ht="14.45" customHeight="1"/>
    <row r="1135" s="11" customFormat="1" ht="24" customHeight="1"/>
    <row r="1136" s="11" customFormat="1" ht="14.45" customHeight="1"/>
    <row r="1137" s="11" customFormat="1" ht="60" customHeight="1"/>
    <row r="1138" s="11" customFormat="1" ht="45" customHeight="1"/>
    <row r="1139" s="11" customFormat="1" ht="14.45" customHeight="1"/>
    <row r="1140" s="11" customFormat="1" ht="45" customHeight="1"/>
    <row r="1141" s="11" customFormat="1" ht="14.45" customHeight="1"/>
    <row r="1142" s="11" customFormat="1" ht="24" customHeight="1"/>
    <row r="1143" s="11" customFormat="1" ht="14.45" customHeight="1"/>
    <row r="1144" s="11" customFormat="1" ht="60" customHeight="1"/>
    <row r="1145" s="11" customFormat="1" ht="45" customHeight="1"/>
    <row r="1146" s="11" customFormat="1" ht="14.45" customHeight="1"/>
    <row r="1147" s="11" customFormat="1" ht="45" customHeight="1"/>
    <row r="1148" s="11" customFormat="1" ht="14.45" customHeight="1"/>
    <row r="1149" s="11" customFormat="1" ht="24" customHeight="1"/>
    <row r="1150" s="11" customFormat="1" ht="14.45" customHeight="1"/>
    <row r="1151" s="11" customFormat="1" ht="60" customHeight="1"/>
    <row r="1152" s="11" customFormat="1" ht="45" customHeight="1"/>
    <row r="1153" s="11" customFormat="1" ht="14.45" customHeight="1"/>
    <row r="1154" s="11" customFormat="1" ht="45" customHeight="1"/>
    <row r="1155" s="11" customFormat="1" ht="14.45" customHeight="1"/>
    <row r="1156" s="11" customFormat="1" ht="24" customHeight="1"/>
    <row r="1157" s="11" customFormat="1" ht="14.45" customHeight="1"/>
    <row r="1158" s="11" customFormat="1" ht="60" customHeight="1"/>
    <row r="1159" s="11" customFormat="1" ht="45" customHeight="1"/>
    <row r="1160" s="11" customFormat="1" ht="14.45" customHeight="1"/>
    <row r="1161" s="11" customFormat="1" ht="45" customHeight="1"/>
    <row r="1162" s="11" customFormat="1" ht="14.45" customHeight="1"/>
    <row r="1163" s="11" customFormat="1" ht="24" customHeight="1"/>
    <row r="1164" s="11" customFormat="1" ht="14.45" customHeight="1"/>
    <row r="1165" s="11" customFormat="1" ht="60" customHeight="1"/>
    <row r="1166" s="11" customFormat="1" ht="45" customHeight="1"/>
    <row r="1167" s="11" customFormat="1" ht="14.45" customHeight="1"/>
    <row r="1168" s="11" customFormat="1" ht="45" customHeight="1"/>
    <row r="1169" s="11" customFormat="1" ht="14.45" customHeight="1"/>
    <row r="1170" s="11" customFormat="1" ht="24" customHeight="1"/>
    <row r="1171" s="11" customFormat="1" ht="14.45" customHeight="1"/>
    <row r="1172" s="11" customFormat="1" ht="60" customHeight="1"/>
    <row r="1173" s="11" customFormat="1" ht="45" customHeight="1"/>
    <row r="1174" s="11" customFormat="1" ht="14.45" customHeight="1"/>
    <row r="1175" s="11" customFormat="1" ht="45" customHeight="1"/>
    <row r="1176" s="11" customFormat="1" ht="14.45" customHeight="1"/>
    <row r="1177" s="11" customFormat="1" ht="24" customHeight="1"/>
    <row r="1178" s="11" customFormat="1" ht="14.45" customHeight="1"/>
    <row r="1179" s="11" customFormat="1" ht="60" customHeight="1"/>
    <row r="1180" s="11" customFormat="1" ht="45" customHeight="1"/>
    <row r="1181" s="11" customFormat="1" ht="14.45" customHeight="1"/>
    <row r="1182" s="11" customFormat="1" ht="45" customHeight="1"/>
    <row r="1183" s="11" customFormat="1" ht="14.45" customHeight="1"/>
    <row r="1184" s="11" customFormat="1" ht="24" customHeight="1"/>
    <row r="1185" s="11" customFormat="1" ht="14.45" customHeight="1"/>
    <row r="1186" s="11" customFormat="1" ht="60" customHeight="1"/>
    <row r="1187" s="11" customFormat="1" ht="45" customHeight="1"/>
    <row r="1188" s="11" customFormat="1" ht="14.45" customHeight="1"/>
    <row r="1189" s="11" customFormat="1" ht="45" customHeight="1"/>
    <row r="1190" s="11" customFormat="1" ht="14.45" customHeight="1"/>
    <row r="1191" s="11" customFormat="1" ht="24" customHeight="1"/>
    <row r="1192" s="11" customFormat="1" ht="14.45" customHeight="1"/>
    <row r="1193" s="11" customFormat="1" ht="60" customHeight="1"/>
    <row r="1194" s="11" customFormat="1" ht="45" customHeight="1"/>
    <row r="1195" s="11" customFormat="1" ht="14.45" customHeight="1"/>
    <row r="1196" s="11" customFormat="1" ht="45" customHeight="1"/>
    <row r="1197" s="11" customFormat="1" ht="14.45" customHeight="1"/>
    <row r="1198" s="11" customFormat="1" ht="24" customHeight="1"/>
    <row r="1199" s="11" customFormat="1" ht="14.45" customHeight="1"/>
    <row r="1200" s="11" customFormat="1" ht="60" customHeight="1"/>
    <row r="1201" s="11" customFormat="1" ht="45" customHeight="1"/>
    <row r="1202" s="11" customFormat="1" ht="14.45" customHeight="1"/>
    <row r="1203" s="11" customFormat="1" ht="45" customHeight="1"/>
    <row r="1204" s="11" customFormat="1" ht="14.45" customHeight="1"/>
    <row r="1205" s="11" customFormat="1" ht="24" customHeight="1"/>
  </sheetData>
  <sheetProtection algorithmName="SHA-512" hashValue="m9aw4uZjMwByhQBr+iz0Cr71EQdL4vm78dzaQu3VeoeTmkRd+bzC+SfeEFkrkFkKNGQGWIv9rkkw+9ffylYpNg==" saltValue="hF+VZNMS5uLImUpSS6tfHg==" spinCount="100000" sheet="1" objects="1" scenarios="1" autoFilter="0"/>
  <mergeCells count="1973">
    <mergeCell ref="L954:N954"/>
    <mergeCell ref="L955:N960"/>
    <mergeCell ref="O954:Q954"/>
    <mergeCell ref="O955:Q960"/>
    <mergeCell ref="F954:H954"/>
    <mergeCell ref="G955:H955"/>
    <mergeCell ref="G960:H960"/>
    <mergeCell ref="I954:K954"/>
    <mergeCell ref="I955:K960"/>
    <mergeCell ref="A954:A960"/>
    <mergeCell ref="B954:B960"/>
    <mergeCell ref="C954:C960"/>
    <mergeCell ref="D954:D960"/>
    <mergeCell ref="E954:E960"/>
    <mergeCell ref="O940:Q940"/>
    <mergeCell ref="O941:Q946"/>
    <mergeCell ref="A947:A953"/>
    <mergeCell ref="B947:B953"/>
    <mergeCell ref="C947:C953"/>
    <mergeCell ref="D947:D953"/>
    <mergeCell ref="E947:E953"/>
    <mergeCell ref="F947:H947"/>
    <mergeCell ref="G948:H948"/>
    <mergeCell ref="G953:H953"/>
    <mergeCell ref="I947:K947"/>
    <mergeCell ref="I948:K953"/>
    <mergeCell ref="L947:N947"/>
    <mergeCell ref="L948:N953"/>
    <mergeCell ref="O947:Q947"/>
    <mergeCell ref="O948:Q953"/>
    <mergeCell ref="L933:N933"/>
    <mergeCell ref="L934:N939"/>
    <mergeCell ref="O933:Q933"/>
    <mergeCell ref="O934:Q939"/>
    <mergeCell ref="A940:A946"/>
    <mergeCell ref="B940:B946"/>
    <mergeCell ref="C940:C946"/>
    <mergeCell ref="D940:D946"/>
    <mergeCell ref="E940:E946"/>
    <mergeCell ref="F940:H940"/>
    <mergeCell ref="G941:H941"/>
    <mergeCell ref="G946:H946"/>
    <mergeCell ref="I940:K940"/>
    <mergeCell ref="I941:K946"/>
    <mergeCell ref="L940:N940"/>
    <mergeCell ref="L941:N946"/>
    <mergeCell ref="F933:H933"/>
    <mergeCell ref="G934:H934"/>
    <mergeCell ref="G939:H939"/>
    <mergeCell ref="I933:K933"/>
    <mergeCell ref="I934:K939"/>
    <mergeCell ref="A933:A939"/>
    <mergeCell ref="B933:B939"/>
    <mergeCell ref="C933:C939"/>
    <mergeCell ref="D933:D939"/>
    <mergeCell ref="E933:E939"/>
    <mergeCell ref="O919:Q919"/>
    <mergeCell ref="O920:Q925"/>
    <mergeCell ref="A926:A932"/>
    <mergeCell ref="B926:B932"/>
    <mergeCell ref="C926:C932"/>
    <mergeCell ref="D926:D932"/>
    <mergeCell ref="E926:E932"/>
    <mergeCell ref="F926:H926"/>
    <mergeCell ref="G927:H927"/>
    <mergeCell ref="G932:H932"/>
    <mergeCell ref="I926:K926"/>
    <mergeCell ref="I927:K932"/>
    <mergeCell ref="L926:N926"/>
    <mergeCell ref="L927:N932"/>
    <mergeCell ref="O926:Q926"/>
    <mergeCell ref="O927:Q932"/>
    <mergeCell ref="L912:N912"/>
    <mergeCell ref="L913:N918"/>
    <mergeCell ref="O912:Q912"/>
    <mergeCell ref="O913:Q918"/>
    <mergeCell ref="A919:A925"/>
    <mergeCell ref="B919:B925"/>
    <mergeCell ref="C919:C925"/>
    <mergeCell ref="D919:D925"/>
    <mergeCell ref="E919:E925"/>
    <mergeCell ref="F919:H919"/>
    <mergeCell ref="G920:H920"/>
    <mergeCell ref="G925:H925"/>
    <mergeCell ref="I919:K919"/>
    <mergeCell ref="I920:K925"/>
    <mergeCell ref="L919:N919"/>
    <mergeCell ref="L920:N925"/>
    <mergeCell ref="F912:H912"/>
    <mergeCell ref="G913:H913"/>
    <mergeCell ref="G918:H918"/>
    <mergeCell ref="I912:K912"/>
    <mergeCell ref="I913:K918"/>
    <mergeCell ref="A912:A918"/>
    <mergeCell ref="B912:B918"/>
    <mergeCell ref="C912:C918"/>
    <mergeCell ref="D912:D918"/>
    <mergeCell ref="E912:E918"/>
    <mergeCell ref="O899:Q904"/>
    <mergeCell ref="A905:A911"/>
    <mergeCell ref="B905:B911"/>
    <mergeCell ref="C905:C911"/>
    <mergeCell ref="D905:D911"/>
    <mergeCell ref="E905:E911"/>
    <mergeCell ref="F905:H905"/>
    <mergeCell ref="G906:H906"/>
    <mergeCell ref="G911:H911"/>
    <mergeCell ref="I905:K905"/>
    <mergeCell ref="I906:K911"/>
    <mergeCell ref="L905:N905"/>
    <mergeCell ref="L906:N911"/>
    <mergeCell ref="O905:Q905"/>
    <mergeCell ref="O906:Q911"/>
    <mergeCell ref="O891:Q891"/>
    <mergeCell ref="O892:Q897"/>
    <mergeCell ref="A898:A904"/>
    <mergeCell ref="B898:B904"/>
    <mergeCell ref="C898:C904"/>
    <mergeCell ref="D898:D904"/>
    <mergeCell ref="E898:E904"/>
    <mergeCell ref="F898:H898"/>
    <mergeCell ref="G899:H899"/>
    <mergeCell ref="G904:H904"/>
    <mergeCell ref="I898:K898"/>
    <mergeCell ref="J899:K899"/>
    <mergeCell ref="J904:K904"/>
    <mergeCell ref="L898:N898"/>
    <mergeCell ref="L899:N904"/>
    <mergeCell ref="O898:Q898"/>
    <mergeCell ref="L884:N884"/>
    <mergeCell ref="L885:N890"/>
    <mergeCell ref="O884:Q884"/>
    <mergeCell ref="O885:Q890"/>
    <mergeCell ref="A891:A897"/>
    <mergeCell ref="B891:B897"/>
    <mergeCell ref="C891:C897"/>
    <mergeCell ref="D891:D897"/>
    <mergeCell ref="E891:E897"/>
    <mergeCell ref="F891:H891"/>
    <mergeCell ref="G892:H892"/>
    <mergeCell ref="G897:H897"/>
    <mergeCell ref="I891:K891"/>
    <mergeCell ref="I892:K897"/>
    <mergeCell ref="L891:N891"/>
    <mergeCell ref="L892:N897"/>
    <mergeCell ref="F884:H884"/>
    <mergeCell ref="G885:H885"/>
    <mergeCell ref="G890:H890"/>
    <mergeCell ref="I884:K884"/>
    <mergeCell ref="I885:K890"/>
    <mergeCell ref="A884:A890"/>
    <mergeCell ref="B884:B890"/>
    <mergeCell ref="C884:C890"/>
    <mergeCell ref="D884:D890"/>
    <mergeCell ref="E884:E890"/>
    <mergeCell ref="O870:Q870"/>
    <mergeCell ref="O871:Q876"/>
    <mergeCell ref="A877:A883"/>
    <mergeCell ref="B877:B883"/>
    <mergeCell ref="C877:C883"/>
    <mergeCell ref="D877:D883"/>
    <mergeCell ref="E877:E883"/>
    <mergeCell ref="F877:H877"/>
    <mergeCell ref="G878:H878"/>
    <mergeCell ref="G883:H883"/>
    <mergeCell ref="I877:K877"/>
    <mergeCell ref="I878:K883"/>
    <mergeCell ref="L877:N877"/>
    <mergeCell ref="L878:N883"/>
    <mergeCell ref="O877:Q877"/>
    <mergeCell ref="O878:Q883"/>
    <mergeCell ref="L863:N863"/>
    <mergeCell ref="L864:N869"/>
    <mergeCell ref="O863:Q863"/>
    <mergeCell ref="O864:Q869"/>
    <mergeCell ref="A870:A876"/>
    <mergeCell ref="B870:B876"/>
    <mergeCell ref="C870:C876"/>
    <mergeCell ref="D870:D876"/>
    <mergeCell ref="E870:E876"/>
    <mergeCell ref="F870:H870"/>
    <mergeCell ref="G871:H871"/>
    <mergeCell ref="G876:H876"/>
    <mergeCell ref="I870:K870"/>
    <mergeCell ref="I871:K876"/>
    <mergeCell ref="L870:N870"/>
    <mergeCell ref="L871:N876"/>
    <mergeCell ref="F863:H863"/>
    <mergeCell ref="G864:H864"/>
    <mergeCell ref="G869:H869"/>
    <mergeCell ref="I863:K863"/>
    <mergeCell ref="I864:K869"/>
    <mergeCell ref="A863:A869"/>
    <mergeCell ref="B863:B869"/>
    <mergeCell ref="C863:C869"/>
    <mergeCell ref="D863:D869"/>
    <mergeCell ref="E863:E869"/>
    <mergeCell ref="O849:Q849"/>
    <mergeCell ref="O850:Q855"/>
    <mergeCell ref="A856:A862"/>
    <mergeCell ref="B856:B862"/>
    <mergeCell ref="C856:C862"/>
    <mergeCell ref="D856:D862"/>
    <mergeCell ref="E856:E862"/>
    <mergeCell ref="F856:H856"/>
    <mergeCell ref="G857:H857"/>
    <mergeCell ref="G862:H862"/>
    <mergeCell ref="I856:K856"/>
    <mergeCell ref="I857:K862"/>
    <mergeCell ref="L856:N856"/>
    <mergeCell ref="L857:N862"/>
    <mergeCell ref="O856:Q856"/>
    <mergeCell ref="O857:Q862"/>
    <mergeCell ref="L842:N842"/>
    <mergeCell ref="L843:N848"/>
    <mergeCell ref="O842:Q842"/>
    <mergeCell ref="O843:Q848"/>
    <mergeCell ref="A849:A855"/>
    <mergeCell ref="B849:B855"/>
    <mergeCell ref="C849:C855"/>
    <mergeCell ref="D849:D855"/>
    <mergeCell ref="E849:E855"/>
    <mergeCell ref="F849:H849"/>
    <mergeCell ref="G850:H850"/>
    <mergeCell ref="G855:H855"/>
    <mergeCell ref="I849:K849"/>
    <mergeCell ref="I850:K855"/>
    <mergeCell ref="L849:N849"/>
    <mergeCell ref="L850:N855"/>
    <mergeCell ref="F842:H842"/>
    <mergeCell ref="G843:H843"/>
    <mergeCell ref="G848:H848"/>
    <mergeCell ref="I842:K842"/>
    <mergeCell ref="I843:K848"/>
    <mergeCell ref="A842:A848"/>
    <mergeCell ref="B842:B848"/>
    <mergeCell ref="C842:C848"/>
    <mergeCell ref="D842:D848"/>
    <mergeCell ref="E842:E848"/>
    <mergeCell ref="O828:Q828"/>
    <mergeCell ref="O829:Q834"/>
    <mergeCell ref="A835:A841"/>
    <mergeCell ref="B835:B841"/>
    <mergeCell ref="C835:C841"/>
    <mergeCell ref="D835:D841"/>
    <mergeCell ref="E835:E841"/>
    <mergeCell ref="F835:H835"/>
    <mergeCell ref="G836:H836"/>
    <mergeCell ref="G841:H841"/>
    <mergeCell ref="I835:K835"/>
    <mergeCell ref="I836:K841"/>
    <mergeCell ref="L835:N835"/>
    <mergeCell ref="L836:N841"/>
    <mergeCell ref="O835:Q835"/>
    <mergeCell ref="O836:Q841"/>
    <mergeCell ref="L821:N821"/>
    <mergeCell ref="L822:N827"/>
    <mergeCell ref="O821:Q821"/>
    <mergeCell ref="O822:Q827"/>
    <mergeCell ref="A828:A834"/>
    <mergeCell ref="B828:B834"/>
    <mergeCell ref="C828:C834"/>
    <mergeCell ref="D828:D834"/>
    <mergeCell ref="E828:E834"/>
    <mergeCell ref="F828:H828"/>
    <mergeCell ref="G829:H829"/>
    <mergeCell ref="G834:H834"/>
    <mergeCell ref="I828:K828"/>
    <mergeCell ref="I829:K834"/>
    <mergeCell ref="L828:N828"/>
    <mergeCell ref="L829:N834"/>
    <mergeCell ref="F821:H821"/>
    <mergeCell ref="G822:H822"/>
    <mergeCell ref="G827:H827"/>
    <mergeCell ref="I821:K821"/>
    <mergeCell ref="I822:K827"/>
    <mergeCell ref="A821:A827"/>
    <mergeCell ref="B821:B827"/>
    <mergeCell ref="C821:C827"/>
    <mergeCell ref="D821:D827"/>
    <mergeCell ref="E821:E827"/>
    <mergeCell ref="O807:Q807"/>
    <mergeCell ref="O808:Q813"/>
    <mergeCell ref="A814:A820"/>
    <mergeCell ref="B814:B820"/>
    <mergeCell ref="C814:C820"/>
    <mergeCell ref="D814:D820"/>
    <mergeCell ref="E814:E820"/>
    <mergeCell ref="F814:H814"/>
    <mergeCell ref="G815:H815"/>
    <mergeCell ref="G820:H820"/>
    <mergeCell ref="I814:K814"/>
    <mergeCell ref="I815:K820"/>
    <mergeCell ref="L814:N814"/>
    <mergeCell ref="L815:N820"/>
    <mergeCell ref="O814:Q814"/>
    <mergeCell ref="O815:Q820"/>
    <mergeCell ref="L800:N800"/>
    <mergeCell ref="L801:N806"/>
    <mergeCell ref="O800:Q800"/>
    <mergeCell ref="O801:Q806"/>
    <mergeCell ref="A807:A813"/>
    <mergeCell ref="B807:B813"/>
    <mergeCell ref="C807:C813"/>
    <mergeCell ref="D807:D813"/>
    <mergeCell ref="E807:E813"/>
    <mergeCell ref="F807:H807"/>
    <mergeCell ref="G808:H808"/>
    <mergeCell ref="G813:H813"/>
    <mergeCell ref="I807:K807"/>
    <mergeCell ref="I808:K813"/>
    <mergeCell ref="L807:N807"/>
    <mergeCell ref="L808:N813"/>
    <mergeCell ref="F800:H800"/>
    <mergeCell ref="G801:H801"/>
    <mergeCell ref="G806:H806"/>
    <mergeCell ref="I800:K800"/>
    <mergeCell ref="I801:K806"/>
    <mergeCell ref="A800:A806"/>
    <mergeCell ref="B800:B806"/>
    <mergeCell ref="C800:C806"/>
    <mergeCell ref="D800:D806"/>
    <mergeCell ref="E800:E806"/>
    <mergeCell ref="O786:Q786"/>
    <mergeCell ref="O787:Q792"/>
    <mergeCell ref="A793:A799"/>
    <mergeCell ref="B793:B799"/>
    <mergeCell ref="C793:C799"/>
    <mergeCell ref="D793:D799"/>
    <mergeCell ref="E793:E799"/>
    <mergeCell ref="F793:H793"/>
    <mergeCell ref="G794:H794"/>
    <mergeCell ref="G799:H799"/>
    <mergeCell ref="I793:K793"/>
    <mergeCell ref="I794:K799"/>
    <mergeCell ref="L793:N793"/>
    <mergeCell ref="L794:N799"/>
    <mergeCell ref="O793:Q793"/>
    <mergeCell ref="O794:Q799"/>
    <mergeCell ref="L779:N779"/>
    <mergeCell ref="L780:N785"/>
    <mergeCell ref="O779:Q779"/>
    <mergeCell ref="O780:Q785"/>
    <mergeCell ref="A786:A792"/>
    <mergeCell ref="B786:B792"/>
    <mergeCell ref="C786:C792"/>
    <mergeCell ref="D786:D792"/>
    <mergeCell ref="E786:E792"/>
    <mergeCell ref="F786:H786"/>
    <mergeCell ref="G787:H787"/>
    <mergeCell ref="G792:H792"/>
    <mergeCell ref="I786:K786"/>
    <mergeCell ref="I787:K792"/>
    <mergeCell ref="L786:N786"/>
    <mergeCell ref="L787:N792"/>
    <mergeCell ref="F779:H779"/>
    <mergeCell ref="G780:H780"/>
    <mergeCell ref="G785:H785"/>
    <mergeCell ref="I779:K779"/>
    <mergeCell ref="I780:K785"/>
    <mergeCell ref="A779:A785"/>
    <mergeCell ref="B779:B785"/>
    <mergeCell ref="C779:C785"/>
    <mergeCell ref="D779:D785"/>
    <mergeCell ref="E779:E785"/>
    <mergeCell ref="O765:Q765"/>
    <mergeCell ref="O766:Q771"/>
    <mergeCell ref="A772:A778"/>
    <mergeCell ref="B772:B778"/>
    <mergeCell ref="C772:C778"/>
    <mergeCell ref="D772:D778"/>
    <mergeCell ref="E772:E778"/>
    <mergeCell ref="F772:H772"/>
    <mergeCell ref="G773:H773"/>
    <mergeCell ref="G778:H778"/>
    <mergeCell ref="I772:K772"/>
    <mergeCell ref="I773:K778"/>
    <mergeCell ref="L772:N772"/>
    <mergeCell ref="L773:N778"/>
    <mergeCell ref="O772:Q772"/>
    <mergeCell ref="O773:Q778"/>
    <mergeCell ref="L758:N758"/>
    <mergeCell ref="L759:N764"/>
    <mergeCell ref="O758:Q758"/>
    <mergeCell ref="O759:Q764"/>
    <mergeCell ref="A765:A771"/>
    <mergeCell ref="B765:B771"/>
    <mergeCell ref="C765:C771"/>
    <mergeCell ref="D765:D771"/>
    <mergeCell ref="E765:E771"/>
    <mergeCell ref="F765:H765"/>
    <mergeCell ref="G766:H766"/>
    <mergeCell ref="G771:H771"/>
    <mergeCell ref="I765:K765"/>
    <mergeCell ref="I766:K771"/>
    <mergeCell ref="L765:N765"/>
    <mergeCell ref="L766:N771"/>
    <mergeCell ref="F758:H758"/>
    <mergeCell ref="G759:H759"/>
    <mergeCell ref="G764:H764"/>
    <mergeCell ref="I758:K758"/>
    <mergeCell ref="I759:K764"/>
    <mergeCell ref="A758:A764"/>
    <mergeCell ref="B758:B764"/>
    <mergeCell ref="C758:C764"/>
    <mergeCell ref="D758:D764"/>
    <mergeCell ref="E758:E764"/>
    <mergeCell ref="O745:Q750"/>
    <mergeCell ref="A751:A757"/>
    <mergeCell ref="B751:B757"/>
    <mergeCell ref="C751:C757"/>
    <mergeCell ref="D751:D757"/>
    <mergeCell ref="E751:E757"/>
    <mergeCell ref="F751:H751"/>
    <mergeCell ref="G752:H752"/>
    <mergeCell ref="G757:H757"/>
    <mergeCell ref="I751:K751"/>
    <mergeCell ref="I752:K757"/>
    <mergeCell ref="L751:N751"/>
    <mergeCell ref="L752:N757"/>
    <mergeCell ref="O751:Q751"/>
    <mergeCell ref="O752:Q757"/>
    <mergeCell ref="L738:N743"/>
    <mergeCell ref="O737:Q737"/>
    <mergeCell ref="O738:Q743"/>
    <mergeCell ref="A744:A750"/>
    <mergeCell ref="B744:B750"/>
    <mergeCell ref="C744:C750"/>
    <mergeCell ref="D744:D750"/>
    <mergeCell ref="E744:E750"/>
    <mergeCell ref="F744:H744"/>
    <mergeCell ref="G745:H745"/>
    <mergeCell ref="G750:H750"/>
    <mergeCell ref="I744:K744"/>
    <mergeCell ref="I745:K750"/>
    <mergeCell ref="L744:N744"/>
    <mergeCell ref="L745:N750"/>
    <mergeCell ref="O744:Q744"/>
    <mergeCell ref="M731:N731"/>
    <mergeCell ref="M736:N736"/>
    <mergeCell ref="O730:Q730"/>
    <mergeCell ref="O731:Q736"/>
    <mergeCell ref="A737:A743"/>
    <mergeCell ref="B737:B743"/>
    <mergeCell ref="C737:C743"/>
    <mergeCell ref="D737:D743"/>
    <mergeCell ref="E737:E743"/>
    <mergeCell ref="F737:H737"/>
    <mergeCell ref="G738:H738"/>
    <mergeCell ref="G743:H743"/>
    <mergeCell ref="I737:K737"/>
    <mergeCell ref="J738:K738"/>
    <mergeCell ref="J743:K743"/>
    <mergeCell ref="L737:N737"/>
    <mergeCell ref="L723:N723"/>
    <mergeCell ref="L724:N729"/>
    <mergeCell ref="O723:Q723"/>
    <mergeCell ref="O724:Q729"/>
    <mergeCell ref="A730:A736"/>
    <mergeCell ref="B730:B736"/>
    <mergeCell ref="C730:C736"/>
    <mergeCell ref="D730:D736"/>
    <mergeCell ref="E730:E736"/>
    <mergeCell ref="F730:H730"/>
    <mergeCell ref="G731:H731"/>
    <mergeCell ref="G736:H736"/>
    <mergeCell ref="I730:K730"/>
    <mergeCell ref="J731:K731"/>
    <mergeCell ref="J736:K736"/>
    <mergeCell ref="L730:N730"/>
    <mergeCell ref="F723:H723"/>
    <mergeCell ref="G724:H724"/>
    <mergeCell ref="G729:H729"/>
    <mergeCell ref="I723:K723"/>
    <mergeCell ref="J724:K724"/>
    <mergeCell ref="J729:K729"/>
    <mergeCell ref="A723:A729"/>
    <mergeCell ref="B723:B729"/>
    <mergeCell ref="C723:C729"/>
    <mergeCell ref="D723:D729"/>
    <mergeCell ref="E723:E729"/>
    <mergeCell ref="O709:Q709"/>
    <mergeCell ref="O710:Q715"/>
    <mergeCell ref="A716:A722"/>
    <mergeCell ref="B716:B722"/>
    <mergeCell ref="C716:C722"/>
    <mergeCell ref="D716:D722"/>
    <mergeCell ref="E716:E722"/>
    <mergeCell ref="F716:H716"/>
    <mergeCell ref="G717:H717"/>
    <mergeCell ref="G722:H722"/>
    <mergeCell ref="I716:K716"/>
    <mergeCell ref="I717:K722"/>
    <mergeCell ref="L716:N716"/>
    <mergeCell ref="L717:N722"/>
    <mergeCell ref="O716:Q716"/>
    <mergeCell ref="O717:Q722"/>
    <mergeCell ref="L702:N702"/>
    <mergeCell ref="L703:N708"/>
    <mergeCell ref="O702:Q702"/>
    <mergeCell ref="O703:Q708"/>
    <mergeCell ref="A709:A715"/>
    <mergeCell ref="B709:B715"/>
    <mergeCell ref="C709:C715"/>
    <mergeCell ref="D709:D715"/>
    <mergeCell ref="E709:E715"/>
    <mergeCell ref="F709:H709"/>
    <mergeCell ref="G710:H710"/>
    <mergeCell ref="G715:H715"/>
    <mergeCell ref="I709:K709"/>
    <mergeCell ref="I710:K715"/>
    <mergeCell ref="L709:N709"/>
    <mergeCell ref="L710:N715"/>
    <mergeCell ref="F702:H702"/>
    <mergeCell ref="G703:H703"/>
    <mergeCell ref="G708:H708"/>
    <mergeCell ref="I702:K702"/>
    <mergeCell ref="I703:K708"/>
    <mergeCell ref="A702:A708"/>
    <mergeCell ref="B702:B708"/>
    <mergeCell ref="C702:C708"/>
    <mergeCell ref="D702:D708"/>
    <mergeCell ref="E702:E708"/>
    <mergeCell ref="O689:Q694"/>
    <mergeCell ref="A695:A701"/>
    <mergeCell ref="B695:B701"/>
    <mergeCell ref="C695:C701"/>
    <mergeCell ref="D695:D701"/>
    <mergeCell ref="E695:E701"/>
    <mergeCell ref="F695:H695"/>
    <mergeCell ref="G696:H696"/>
    <mergeCell ref="G701:H701"/>
    <mergeCell ref="I695:K695"/>
    <mergeCell ref="I696:K701"/>
    <mergeCell ref="L695:N695"/>
    <mergeCell ref="L696:N701"/>
    <mergeCell ref="O695:Q695"/>
    <mergeCell ref="O696:Q701"/>
    <mergeCell ref="O681:Q681"/>
    <mergeCell ref="O682:Q687"/>
    <mergeCell ref="A688:A694"/>
    <mergeCell ref="B688:B694"/>
    <mergeCell ref="C688:C694"/>
    <mergeCell ref="D688:D694"/>
    <mergeCell ref="E688:E694"/>
    <mergeCell ref="F688:H688"/>
    <mergeCell ref="G689:H689"/>
    <mergeCell ref="G694:H694"/>
    <mergeCell ref="I688:K688"/>
    <mergeCell ref="J689:K689"/>
    <mergeCell ref="J694:K694"/>
    <mergeCell ref="L688:N688"/>
    <mergeCell ref="L689:N694"/>
    <mergeCell ref="O688:Q688"/>
    <mergeCell ref="L675:N680"/>
    <mergeCell ref="O674:Q674"/>
    <mergeCell ref="O675:Q680"/>
    <mergeCell ref="A681:A687"/>
    <mergeCell ref="B681:B687"/>
    <mergeCell ref="C681:C687"/>
    <mergeCell ref="D681:D687"/>
    <mergeCell ref="E681:E687"/>
    <mergeCell ref="F681:H681"/>
    <mergeCell ref="G682:H682"/>
    <mergeCell ref="G687:H687"/>
    <mergeCell ref="I681:K681"/>
    <mergeCell ref="J682:K682"/>
    <mergeCell ref="J687:K687"/>
    <mergeCell ref="L681:N681"/>
    <mergeCell ref="L682:N687"/>
    <mergeCell ref="L667:N667"/>
    <mergeCell ref="L668:N673"/>
    <mergeCell ref="O667:Q667"/>
    <mergeCell ref="O668:Q673"/>
    <mergeCell ref="A674:A680"/>
    <mergeCell ref="B674:B680"/>
    <mergeCell ref="C674:C680"/>
    <mergeCell ref="D674:D680"/>
    <mergeCell ref="E674:E680"/>
    <mergeCell ref="F674:H674"/>
    <mergeCell ref="G675:H675"/>
    <mergeCell ref="G680:H680"/>
    <mergeCell ref="I674:K674"/>
    <mergeCell ref="J675:K675"/>
    <mergeCell ref="J680:K680"/>
    <mergeCell ref="L674:N674"/>
    <mergeCell ref="F667:H667"/>
    <mergeCell ref="G668:H668"/>
    <mergeCell ref="G673:H673"/>
    <mergeCell ref="I667:K667"/>
    <mergeCell ref="J668:K668"/>
    <mergeCell ref="J673:K673"/>
    <mergeCell ref="A667:A673"/>
    <mergeCell ref="B667:B673"/>
    <mergeCell ref="C667:C673"/>
    <mergeCell ref="D667:D673"/>
    <mergeCell ref="E667:E673"/>
    <mergeCell ref="O653:Q653"/>
    <mergeCell ref="O654:Q659"/>
    <mergeCell ref="A660:A666"/>
    <mergeCell ref="B660:B666"/>
    <mergeCell ref="C660:C666"/>
    <mergeCell ref="D660:D666"/>
    <mergeCell ref="E660:E666"/>
    <mergeCell ref="F660:H660"/>
    <mergeCell ref="G661:H661"/>
    <mergeCell ref="G666:H666"/>
    <mergeCell ref="I660:K660"/>
    <mergeCell ref="I661:K666"/>
    <mergeCell ref="L660:N660"/>
    <mergeCell ref="L661:N666"/>
    <mergeCell ref="O660:Q660"/>
    <mergeCell ref="O661:Q666"/>
    <mergeCell ref="L646:N646"/>
    <mergeCell ref="L647:N652"/>
    <mergeCell ref="O646:Q646"/>
    <mergeCell ref="O647:Q652"/>
    <mergeCell ref="A653:A659"/>
    <mergeCell ref="B653:B659"/>
    <mergeCell ref="C653:C659"/>
    <mergeCell ref="D653:D659"/>
    <mergeCell ref="E653:E659"/>
    <mergeCell ref="F653:H653"/>
    <mergeCell ref="G654:H654"/>
    <mergeCell ref="G659:H659"/>
    <mergeCell ref="I653:K653"/>
    <mergeCell ref="I654:K659"/>
    <mergeCell ref="L653:N653"/>
    <mergeCell ref="L654:N659"/>
    <mergeCell ref="F646:H646"/>
    <mergeCell ref="G647:H647"/>
    <mergeCell ref="G652:H652"/>
    <mergeCell ref="I646:K646"/>
    <mergeCell ref="I647:K652"/>
    <mergeCell ref="A646:A652"/>
    <mergeCell ref="B646:B652"/>
    <mergeCell ref="C646:C652"/>
    <mergeCell ref="D646:D652"/>
    <mergeCell ref="E646:E652"/>
    <mergeCell ref="O632:Q632"/>
    <mergeCell ref="O633:Q638"/>
    <mergeCell ref="A639:A645"/>
    <mergeCell ref="B639:B645"/>
    <mergeCell ref="C639:C645"/>
    <mergeCell ref="D639:D645"/>
    <mergeCell ref="E639:E645"/>
    <mergeCell ref="F639:H639"/>
    <mergeCell ref="G640:H640"/>
    <mergeCell ref="G645:H645"/>
    <mergeCell ref="I639:K639"/>
    <mergeCell ref="I640:K645"/>
    <mergeCell ref="L639:N639"/>
    <mergeCell ref="L640:N645"/>
    <mergeCell ref="O639:Q639"/>
    <mergeCell ref="O640:Q645"/>
    <mergeCell ref="L625:N625"/>
    <mergeCell ref="L626:N631"/>
    <mergeCell ref="O625:Q625"/>
    <mergeCell ref="O626:Q631"/>
    <mergeCell ref="A632:A638"/>
    <mergeCell ref="B632:B638"/>
    <mergeCell ref="C632:C638"/>
    <mergeCell ref="D632:D638"/>
    <mergeCell ref="E632:E638"/>
    <mergeCell ref="F632:H632"/>
    <mergeCell ref="G633:H633"/>
    <mergeCell ref="G638:H638"/>
    <mergeCell ref="I632:K632"/>
    <mergeCell ref="I633:K638"/>
    <mergeCell ref="L632:N632"/>
    <mergeCell ref="L633:N638"/>
    <mergeCell ref="F625:H625"/>
    <mergeCell ref="G626:H626"/>
    <mergeCell ref="G631:H631"/>
    <mergeCell ref="I625:K625"/>
    <mergeCell ref="I626:K631"/>
    <mergeCell ref="A625:A631"/>
    <mergeCell ref="B625:B631"/>
    <mergeCell ref="C625:C631"/>
    <mergeCell ref="D625:D631"/>
    <mergeCell ref="E625:E631"/>
    <mergeCell ref="O611:Q611"/>
    <mergeCell ref="O612:Q617"/>
    <mergeCell ref="A618:A624"/>
    <mergeCell ref="B618:B624"/>
    <mergeCell ref="C618:C624"/>
    <mergeCell ref="D618:D624"/>
    <mergeCell ref="E618:E624"/>
    <mergeCell ref="F618:H618"/>
    <mergeCell ref="G619:H619"/>
    <mergeCell ref="G624:H624"/>
    <mergeCell ref="I618:K618"/>
    <mergeCell ref="I619:K624"/>
    <mergeCell ref="L618:N618"/>
    <mergeCell ref="L619:N624"/>
    <mergeCell ref="O618:Q618"/>
    <mergeCell ref="O619:Q624"/>
    <mergeCell ref="L604:N604"/>
    <mergeCell ref="L605:N610"/>
    <mergeCell ref="O604:Q604"/>
    <mergeCell ref="O605:Q610"/>
    <mergeCell ref="A611:A617"/>
    <mergeCell ref="B611:B617"/>
    <mergeCell ref="C611:C617"/>
    <mergeCell ref="D611:D617"/>
    <mergeCell ref="E611:E617"/>
    <mergeCell ref="F611:H611"/>
    <mergeCell ref="G612:H612"/>
    <mergeCell ref="G617:H617"/>
    <mergeCell ref="I611:K611"/>
    <mergeCell ref="I612:K617"/>
    <mergeCell ref="L611:N611"/>
    <mergeCell ref="L612:N617"/>
    <mergeCell ref="F604:H604"/>
    <mergeCell ref="G605:H605"/>
    <mergeCell ref="G610:H610"/>
    <mergeCell ref="I604:K604"/>
    <mergeCell ref="I605:K610"/>
    <mergeCell ref="A604:A610"/>
    <mergeCell ref="B604:B610"/>
    <mergeCell ref="C604:C610"/>
    <mergeCell ref="D604:D610"/>
    <mergeCell ref="E604:E610"/>
    <mergeCell ref="O590:Q590"/>
    <mergeCell ref="O591:Q596"/>
    <mergeCell ref="A597:A603"/>
    <mergeCell ref="B597:B603"/>
    <mergeCell ref="C597:C603"/>
    <mergeCell ref="D597:D603"/>
    <mergeCell ref="E597:E603"/>
    <mergeCell ref="F597:H597"/>
    <mergeCell ref="G598:H598"/>
    <mergeCell ref="G603:H603"/>
    <mergeCell ref="I597:K597"/>
    <mergeCell ref="I598:K603"/>
    <mergeCell ref="L597:N597"/>
    <mergeCell ref="L598:N603"/>
    <mergeCell ref="O597:Q597"/>
    <mergeCell ref="O598:Q603"/>
    <mergeCell ref="L583:N583"/>
    <mergeCell ref="L584:N589"/>
    <mergeCell ref="O583:Q583"/>
    <mergeCell ref="O584:Q589"/>
    <mergeCell ref="A590:A596"/>
    <mergeCell ref="B590:B596"/>
    <mergeCell ref="C590:C596"/>
    <mergeCell ref="D590:D596"/>
    <mergeCell ref="E590:E596"/>
    <mergeCell ref="F590:H590"/>
    <mergeCell ref="G591:H591"/>
    <mergeCell ref="G596:H596"/>
    <mergeCell ref="I590:K590"/>
    <mergeCell ref="I591:K596"/>
    <mergeCell ref="L590:N590"/>
    <mergeCell ref="L591:N596"/>
    <mergeCell ref="F583:H583"/>
    <mergeCell ref="G584:H584"/>
    <mergeCell ref="G589:H589"/>
    <mergeCell ref="I583:K583"/>
    <mergeCell ref="I584:K589"/>
    <mergeCell ref="A583:A589"/>
    <mergeCell ref="B583:B589"/>
    <mergeCell ref="C583:C589"/>
    <mergeCell ref="D583:D589"/>
    <mergeCell ref="E583:E589"/>
    <mergeCell ref="O570:Q575"/>
    <mergeCell ref="A576:A582"/>
    <mergeCell ref="B576:B582"/>
    <mergeCell ref="C576:C582"/>
    <mergeCell ref="D576:D582"/>
    <mergeCell ref="E576:E582"/>
    <mergeCell ref="F576:H576"/>
    <mergeCell ref="G577:H577"/>
    <mergeCell ref="G582:H582"/>
    <mergeCell ref="I576:K576"/>
    <mergeCell ref="J577:K577"/>
    <mergeCell ref="J582:K582"/>
    <mergeCell ref="L576:N576"/>
    <mergeCell ref="L577:N582"/>
    <mergeCell ref="O576:Q576"/>
    <mergeCell ref="O577:Q582"/>
    <mergeCell ref="O562:Q562"/>
    <mergeCell ref="O563:Q568"/>
    <mergeCell ref="A569:A575"/>
    <mergeCell ref="B569:B575"/>
    <mergeCell ref="C569:C575"/>
    <mergeCell ref="D569:D575"/>
    <mergeCell ref="E569:E575"/>
    <mergeCell ref="F569:H569"/>
    <mergeCell ref="G570:H570"/>
    <mergeCell ref="G575:H575"/>
    <mergeCell ref="I569:K569"/>
    <mergeCell ref="J570:K570"/>
    <mergeCell ref="J575:K575"/>
    <mergeCell ref="L569:N569"/>
    <mergeCell ref="L570:N575"/>
    <mergeCell ref="O569:Q569"/>
    <mergeCell ref="L556:N561"/>
    <mergeCell ref="O555:Q555"/>
    <mergeCell ref="O556:Q561"/>
    <mergeCell ref="A562:A568"/>
    <mergeCell ref="B562:B568"/>
    <mergeCell ref="C562:C568"/>
    <mergeCell ref="D562:D568"/>
    <mergeCell ref="E562:E568"/>
    <mergeCell ref="F562:H562"/>
    <mergeCell ref="G563:H563"/>
    <mergeCell ref="G568:H568"/>
    <mergeCell ref="I562:K562"/>
    <mergeCell ref="J563:K563"/>
    <mergeCell ref="J568:K568"/>
    <mergeCell ref="L562:N562"/>
    <mergeCell ref="L563:N568"/>
    <mergeCell ref="L548:N548"/>
    <mergeCell ref="L549:N554"/>
    <mergeCell ref="O548:Q548"/>
    <mergeCell ref="O549:Q554"/>
    <mergeCell ref="A555:A561"/>
    <mergeCell ref="B555:B561"/>
    <mergeCell ref="C555:C561"/>
    <mergeCell ref="D555:D561"/>
    <mergeCell ref="E555:E561"/>
    <mergeCell ref="F555:H555"/>
    <mergeCell ref="G556:H556"/>
    <mergeCell ref="G561:H561"/>
    <mergeCell ref="I555:K555"/>
    <mergeCell ref="J556:K556"/>
    <mergeCell ref="J561:K561"/>
    <mergeCell ref="L555:N555"/>
    <mergeCell ref="F548:H548"/>
    <mergeCell ref="G549:H549"/>
    <mergeCell ref="G554:H554"/>
    <mergeCell ref="I548:K548"/>
    <mergeCell ref="J549:K549"/>
    <mergeCell ref="J554:K554"/>
    <mergeCell ref="A548:A554"/>
    <mergeCell ref="B548:B554"/>
    <mergeCell ref="C548:C554"/>
    <mergeCell ref="D548:D554"/>
    <mergeCell ref="E548:E554"/>
    <mergeCell ref="O535:Q540"/>
    <mergeCell ref="A541:A547"/>
    <mergeCell ref="B541:B547"/>
    <mergeCell ref="C541:C547"/>
    <mergeCell ref="D541:D547"/>
    <mergeCell ref="E541:E547"/>
    <mergeCell ref="F541:H541"/>
    <mergeCell ref="G542:H542"/>
    <mergeCell ref="G547:H547"/>
    <mergeCell ref="I541:K541"/>
    <mergeCell ref="J542:K542"/>
    <mergeCell ref="J547:K547"/>
    <mergeCell ref="L541:N541"/>
    <mergeCell ref="L542:N547"/>
    <mergeCell ref="O541:Q541"/>
    <mergeCell ref="O542:Q547"/>
    <mergeCell ref="O527:Q527"/>
    <mergeCell ref="O528:Q533"/>
    <mergeCell ref="A534:A540"/>
    <mergeCell ref="B534:B540"/>
    <mergeCell ref="C534:C540"/>
    <mergeCell ref="D534:D540"/>
    <mergeCell ref="E534:E540"/>
    <mergeCell ref="F534:H534"/>
    <mergeCell ref="G535:H535"/>
    <mergeCell ref="G540:H540"/>
    <mergeCell ref="I534:K534"/>
    <mergeCell ref="J535:K535"/>
    <mergeCell ref="J540:K540"/>
    <mergeCell ref="L534:N534"/>
    <mergeCell ref="L535:N540"/>
    <mergeCell ref="O534:Q534"/>
    <mergeCell ref="L521:N526"/>
    <mergeCell ref="O520:Q520"/>
    <mergeCell ref="O521:Q526"/>
    <mergeCell ref="A527:A533"/>
    <mergeCell ref="B527:B533"/>
    <mergeCell ref="C527:C533"/>
    <mergeCell ref="D527:D533"/>
    <mergeCell ref="E527:E533"/>
    <mergeCell ref="F527:H527"/>
    <mergeCell ref="G528:H528"/>
    <mergeCell ref="G533:H533"/>
    <mergeCell ref="I527:K527"/>
    <mergeCell ref="J528:K528"/>
    <mergeCell ref="J533:K533"/>
    <mergeCell ref="L527:N527"/>
    <mergeCell ref="L528:N533"/>
    <mergeCell ref="L513:N513"/>
    <mergeCell ref="L514:N519"/>
    <mergeCell ref="O513:Q513"/>
    <mergeCell ref="O514:Q519"/>
    <mergeCell ref="A520:A526"/>
    <mergeCell ref="B520:B526"/>
    <mergeCell ref="C520:C526"/>
    <mergeCell ref="D520:D526"/>
    <mergeCell ref="E520:E526"/>
    <mergeCell ref="F520:H520"/>
    <mergeCell ref="G521:H521"/>
    <mergeCell ref="G526:H526"/>
    <mergeCell ref="I520:K520"/>
    <mergeCell ref="J521:K521"/>
    <mergeCell ref="J526:K526"/>
    <mergeCell ref="L520:N520"/>
    <mergeCell ref="F513:H513"/>
    <mergeCell ref="G514:H514"/>
    <mergeCell ref="G519:H519"/>
    <mergeCell ref="I513:K513"/>
    <mergeCell ref="J514:K514"/>
    <mergeCell ref="J519:K519"/>
    <mergeCell ref="A513:A519"/>
    <mergeCell ref="B513:B519"/>
    <mergeCell ref="C513:C519"/>
    <mergeCell ref="D513:D519"/>
    <mergeCell ref="E513:E519"/>
    <mergeCell ref="O499:Q499"/>
    <mergeCell ref="O500:Q505"/>
    <mergeCell ref="A506:A512"/>
    <mergeCell ref="B506:B512"/>
    <mergeCell ref="C506:C512"/>
    <mergeCell ref="D506:D512"/>
    <mergeCell ref="E506:E512"/>
    <mergeCell ref="F506:H506"/>
    <mergeCell ref="G507:H507"/>
    <mergeCell ref="G512:H512"/>
    <mergeCell ref="I506:K506"/>
    <mergeCell ref="I507:K512"/>
    <mergeCell ref="L506:N506"/>
    <mergeCell ref="L507:N512"/>
    <mergeCell ref="O506:Q506"/>
    <mergeCell ref="O507:Q512"/>
    <mergeCell ref="L492:N492"/>
    <mergeCell ref="L493:N498"/>
    <mergeCell ref="O492:Q492"/>
    <mergeCell ref="O493:Q498"/>
    <mergeCell ref="A499:A505"/>
    <mergeCell ref="B499:B505"/>
    <mergeCell ref="C499:C505"/>
    <mergeCell ref="D499:D505"/>
    <mergeCell ref="E499:E505"/>
    <mergeCell ref="F499:H499"/>
    <mergeCell ref="G500:H500"/>
    <mergeCell ref="G505:H505"/>
    <mergeCell ref="I499:K499"/>
    <mergeCell ref="I500:K505"/>
    <mergeCell ref="L499:N499"/>
    <mergeCell ref="L500:N505"/>
    <mergeCell ref="F492:H492"/>
    <mergeCell ref="G493:H493"/>
    <mergeCell ref="G498:H498"/>
    <mergeCell ref="I492:K492"/>
    <mergeCell ref="I493:K498"/>
    <mergeCell ref="A492:A498"/>
    <mergeCell ref="B492:B498"/>
    <mergeCell ref="C492:C498"/>
    <mergeCell ref="D492:D498"/>
    <mergeCell ref="E492:E498"/>
    <mergeCell ref="O478:Q478"/>
    <mergeCell ref="O479:Q484"/>
    <mergeCell ref="A485:A491"/>
    <mergeCell ref="B485:B491"/>
    <mergeCell ref="C485:C491"/>
    <mergeCell ref="D485:D491"/>
    <mergeCell ref="E485:E491"/>
    <mergeCell ref="F485:H485"/>
    <mergeCell ref="G486:H486"/>
    <mergeCell ref="G491:H491"/>
    <mergeCell ref="I485:K485"/>
    <mergeCell ref="I486:K491"/>
    <mergeCell ref="L485:N485"/>
    <mergeCell ref="L486:N491"/>
    <mergeCell ref="O485:Q485"/>
    <mergeCell ref="O486:Q491"/>
    <mergeCell ref="L471:N471"/>
    <mergeCell ref="L472:N477"/>
    <mergeCell ref="O471:Q471"/>
    <mergeCell ref="O472:Q477"/>
    <mergeCell ref="A478:A484"/>
    <mergeCell ref="B478:B484"/>
    <mergeCell ref="C478:C484"/>
    <mergeCell ref="D478:D484"/>
    <mergeCell ref="E478:E484"/>
    <mergeCell ref="F478:H478"/>
    <mergeCell ref="G479:H479"/>
    <mergeCell ref="G484:H484"/>
    <mergeCell ref="I478:K478"/>
    <mergeCell ref="I479:K484"/>
    <mergeCell ref="L478:N478"/>
    <mergeCell ref="L479:N484"/>
    <mergeCell ref="F471:H471"/>
    <mergeCell ref="G472:H472"/>
    <mergeCell ref="G477:H477"/>
    <mergeCell ref="I471:K471"/>
    <mergeCell ref="I472:K477"/>
    <mergeCell ref="A471:A477"/>
    <mergeCell ref="B471:B477"/>
    <mergeCell ref="C471:C477"/>
    <mergeCell ref="D471:D477"/>
    <mergeCell ref="E471:E477"/>
    <mergeCell ref="O457:Q457"/>
    <mergeCell ref="O458:Q463"/>
    <mergeCell ref="A464:A470"/>
    <mergeCell ref="B464:B470"/>
    <mergeCell ref="C464:C470"/>
    <mergeCell ref="D464:D470"/>
    <mergeCell ref="E464:E470"/>
    <mergeCell ref="F464:H464"/>
    <mergeCell ref="G465:H465"/>
    <mergeCell ref="G470:H470"/>
    <mergeCell ref="I464:K464"/>
    <mergeCell ref="I465:K470"/>
    <mergeCell ref="L464:N464"/>
    <mergeCell ref="L465:N470"/>
    <mergeCell ref="O464:Q464"/>
    <mergeCell ref="O465:Q470"/>
    <mergeCell ref="L450:N450"/>
    <mergeCell ref="L451:N456"/>
    <mergeCell ref="O450:Q450"/>
    <mergeCell ref="O451:Q456"/>
    <mergeCell ref="A457:A463"/>
    <mergeCell ref="B457:B463"/>
    <mergeCell ref="C457:C463"/>
    <mergeCell ref="D457:D463"/>
    <mergeCell ref="E457:E463"/>
    <mergeCell ref="F457:H457"/>
    <mergeCell ref="G458:H458"/>
    <mergeCell ref="G463:H463"/>
    <mergeCell ref="I457:K457"/>
    <mergeCell ref="I458:K463"/>
    <mergeCell ref="L457:N457"/>
    <mergeCell ref="L458:N463"/>
    <mergeCell ref="F450:H450"/>
    <mergeCell ref="G451:H451"/>
    <mergeCell ref="G456:H456"/>
    <mergeCell ref="I450:K450"/>
    <mergeCell ref="I451:K456"/>
    <mergeCell ref="A450:A456"/>
    <mergeCell ref="B450:B456"/>
    <mergeCell ref="C450:C456"/>
    <mergeCell ref="D450:D456"/>
    <mergeCell ref="E450:E456"/>
    <mergeCell ref="O436:Q436"/>
    <mergeCell ref="O437:Q442"/>
    <mergeCell ref="A443:A449"/>
    <mergeCell ref="B443:B449"/>
    <mergeCell ref="C443:C449"/>
    <mergeCell ref="D443:D449"/>
    <mergeCell ref="E443:E449"/>
    <mergeCell ref="F443:H443"/>
    <mergeCell ref="G444:H444"/>
    <mergeCell ref="G449:H449"/>
    <mergeCell ref="I443:K443"/>
    <mergeCell ref="I444:K449"/>
    <mergeCell ref="L443:N443"/>
    <mergeCell ref="L444:N449"/>
    <mergeCell ref="O443:Q443"/>
    <mergeCell ref="O444:Q449"/>
    <mergeCell ref="L429:N429"/>
    <mergeCell ref="L430:N435"/>
    <mergeCell ref="O429:Q429"/>
    <mergeCell ref="O430:Q435"/>
    <mergeCell ref="A436:A442"/>
    <mergeCell ref="B436:B442"/>
    <mergeCell ref="C436:C442"/>
    <mergeCell ref="D436:D442"/>
    <mergeCell ref="E436:E442"/>
    <mergeCell ref="F436:H436"/>
    <mergeCell ref="G437:H437"/>
    <mergeCell ref="G442:H442"/>
    <mergeCell ref="I436:K436"/>
    <mergeCell ref="I437:K442"/>
    <mergeCell ref="L436:N436"/>
    <mergeCell ref="L437:N442"/>
    <mergeCell ref="F429:H429"/>
    <mergeCell ref="G430:H430"/>
    <mergeCell ref="G435:H435"/>
    <mergeCell ref="I429:K429"/>
    <mergeCell ref="I430:K435"/>
    <mergeCell ref="A429:A435"/>
    <mergeCell ref="B429:B435"/>
    <mergeCell ref="C429:C435"/>
    <mergeCell ref="D429:D435"/>
    <mergeCell ref="E429:E435"/>
    <mergeCell ref="O415:Q415"/>
    <mergeCell ref="O416:Q421"/>
    <mergeCell ref="A422:A428"/>
    <mergeCell ref="B422:B428"/>
    <mergeCell ref="C422:C428"/>
    <mergeCell ref="D422:D428"/>
    <mergeCell ref="E422:E428"/>
    <mergeCell ref="F422:H422"/>
    <mergeCell ref="G423:H423"/>
    <mergeCell ref="G428:H428"/>
    <mergeCell ref="I422:K422"/>
    <mergeCell ref="I423:K428"/>
    <mergeCell ref="L422:N422"/>
    <mergeCell ref="L423:N428"/>
    <mergeCell ref="O422:Q422"/>
    <mergeCell ref="O423:Q428"/>
    <mergeCell ref="L408:N408"/>
    <mergeCell ref="L409:N414"/>
    <mergeCell ref="O408:Q408"/>
    <mergeCell ref="O409:Q414"/>
    <mergeCell ref="A415:A421"/>
    <mergeCell ref="B415:B421"/>
    <mergeCell ref="C415:C421"/>
    <mergeCell ref="D415:D421"/>
    <mergeCell ref="E415:E421"/>
    <mergeCell ref="F415:H415"/>
    <mergeCell ref="G416:H416"/>
    <mergeCell ref="G421:H421"/>
    <mergeCell ref="I415:K415"/>
    <mergeCell ref="I416:K421"/>
    <mergeCell ref="L415:N415"/>
    <mergeCell ref="L416:N421"/>
    <mergeCell ref="F408:H408"/>
    <mergeCell ref="G409:H409"/>
    <mergeCell ref="G414:H414"/>
    <mergeCell ref="I408:K408"/>
    <mergeCell ref="I409:K414"/>
    <mergeCell ref="A408:A414"/>
    <mergeCell ref="B408:B414"/>
    <mergeCell ref="C408:C414"/>
    <mergeCell ref="D408:D414"/>
    <mergeCell ref="E408:E414"/>
    <mergeCell ref="O394:Q394"/>
    <mergeCell ref="O395:Q400"/>
    <mergeCell ref="A401:A407"/>
    <mergeCell ref="B401:B407"/>
    <mergeCell ref="C401:C407"/>
    <mergeCell ref="D401:D407"/>
    <mergeCell ref="E401:E407"/>
    <mergeCell ref="F401:H401"/>
    <mergeCell ref="G402:H402"/>
    <mergeCell ref="G407:H407"/>
    <mergeCell ref="I401:K401"/>
    <mergeCell ref="I402:K407"/>
    <mergeCell ref="L401:N401"/>
    <mergeCell ref="L402:N407"/>
    <mergeCell ref="O401:Q401"/>
    <mergeCell ref="O402:Q407"/>
    <mergeCell ref="L387:N387"/>
    <mergeCell ref="L388:N393"/>
    <mergeCell ref="O387:Q387"/>
    <mergeCell ref="O388:Q393"/>
    <mergeCell ref="A394:A400"/>
    <mergeCell ref="B394:B400"/>
    <mergeCell ref="C394:C400"/>
    <mergeCell ref="D394:D400"/>
    <mergeCell ref="E394:E400"/>
    <mergeCell ref="F394:H394"/>
    <mergeCell ref="G395:H395"/>
    <mergeCell ref="G400:H400"/>
    <mergeCell ref="I394:K394"/>
    <mergeCell ref="I395:K400"/>
    <mergeCell ref="L394:N394"/>
    <mergeCell ref="L395:N400"/>
    <mergeCell ref="F387:H387"/>
    <mergeCell ref="G388:H388"/>
    <mergeCell ref="G393:H393"/>
    <mergeCell ref="I387:K387"/>
    <mergeCell ref="I388:K393"/>
    <mergeCell ref="A387:A393"/>
    <mergeCell ref="B387:B393"/>
    <mergeCell ref="C387:C393"/>
    <mergeCell ref="D387:D393"/>
    <mergeCell ref="E387:E393"/>
    <mergeCell ref="O373:Q373"/>
    <mergeCell ref="O374:Q379"/>
    <mergeCell ref="A380:A386"/>
    <mergeCell ref="B380:B386"/>
    <mergeCell ref="C380:C386"/>
    <mergeCell ref="D380:D386"/>
    <mergeCell ref="E380:E386"/>
    <mergeCell ref="F380:H380"/>
    <mergeCell ref="G381:H381"/>
    <mergeCell ref="G386:H386"/>
    <mergeCell ref="I380:K380"/>
    <mergeCell ref="I381:K386"/>
    <mergeCell ref="L380:N380"/>
    <mergeCell ref="L381:N386"/>
    <mergeCell ref="O380:Q380"/>
    <mergeCell ref="O381:Q386"/>
    <mergeCell ref="L366:N366"/>
    <mergeCell ref="L367:N372"/>
    <mergeCell ref="O366:Q366"/>
    <mergeCell ref="O367:Q372"/>
    <mergeCell ref="A373:A379"/>
    <mergeCell ref="B373:B379"/>
    <mergeCell ref="C373:C379"/>
    <mergeCell ref="D373:D379"/>
    <mergeCell ref="E373:E379"/>
    <mergeCell ref="F373:H373"/>
    <mergeCell ref="G374:H374"/>
    <mergeCell ref="G379:H379"/>
    <mergeCell ref="I373:K373"/>
    <mergeCell ref="I374:K379"/>
    <mergeCell ref="L373:N373"/>
    <mergeCell ref="L374:N379"/>
    <mergeCell ref="F366:H366"/>
    <mergeCell ref="G367:H367"/>
    <mergeCell ref="G372:H372"/>
    <mergeCell ref="I366:K366"/>
    <mergeCell ref="I367:K372"/>
    <mergeCell ref="A366:A372"/>
    <mergeCell ref="B366:B372"/>
    <mergeCell ref="C366:C372"/>
    <mergeCell ref="D366:D372"/>
    <mergeCell ref="E366:E372"/>
    <mergeCell ref="O352:Q352"/>
    <mergeCell ref="O353:Q358"/>
    <mergeCell ref="A359:A365"/>
    <mergeCell ref="B359:B365"/>
    <mergeCell ref="C359:C365"/>
    <mergeCell ref="D359:D365"/>
    <mergeCell ref="E359:E365"/>
    <mergeCell ref="F359:H359"/>
    <mergeCell ref="G360:H360"/>
    <mergeCell ref="G365:H365"/>
    <mergeCell ref="I359:K359"/>
    <mergeCell ref="I360:K365"/>
    <mergeCell ref="L359:N359"/>
    <mergeCell ref="L360:N365"/>
    <mergeCell ref="O359:Q359"/>
    <mergeCell ref="O360:Q365"/>
    <mergeCell ref="L345:N345"/>
    <mergeCell ref="L346:N351"/>
    <mergeCell ref="O345:Q345"/>
    <mergeCell ref="O346:Q351"/>
    <mergeCell ref="A352:A358"/>
    <mergeCell ref="B352:B358"/>
    <mergeCell ref="C352:C358"/>
    <mergeCell ref="D352:D358"/>
    <mergeCell ref="E352:E358"/>
    <mergeCell ref="F352:H352"/>
    <mergeCell ref="G353:H353"/>
    <mergeCell ref="G358:H358"/>
    <mergeCell ref="I352:K352"/>
    <mergeCell ref="I353:K358"/>
    <mergeCell ref="L352:N352"/>
    <mergeCell ref="L353:N358"/>
    <mergeCell ref="F345:H345"/>
    <mergeCell ref="G346:H346"/>
    <mergeCell ref="G351:H351"/>
    <mergeCell ref="I345:K345"/>
    <mergeCell ref="I346:K351"/>
    <mergeCell ref="A345:A351"/>
    <mergeCell ref="B345:B351"/>
    <mergeCell ref="C345:C351"/>
    <mergeCell ref="D345:D351"/>
    <mergeCell ref="E345:E351"/>
    <mergeCell ref="O331:Q331"/>
    <mergeCell ref="O332:Q337"/>
    <mergeCell ref="A338:A344"/>
    <mergeCell ref="B338:B344"/>
    <mergeCell ref="C338:C344"/>
    <mergeCell ref="D338:D344"/>
    <mergeCell ref="E338:E344"/>
    <mergeCell ref="F338:H338"/>
    <mergeCell ref="G339:H339"/>
    <mergeCell ref="G344:H344"/>
    <mergeCell ref="I338:K338"/>
    <mergeCell ref="I339:K344"/>
    <mergeCell ref="L338:N338"/>
    <mergeCell ref="L339:N344"/>
    <mergeCell ref="O338:Q338"/>
    <mergeCell ref="O339:Q344"/>
    <mergeCell ref="L324:N324"/>
    <mergeCell ref="L325:N330"/>
    <mergeCell ref="O324:Q324"/>
    <mergeCell ref="O325:Q330"/>
    <mergeCell ref="A331:A337"/>
    <mergeCell ref="B331:B337"/>
    <mergeCell ref="C331:C337"/>
    <mergeCell ref="D331:D337"/>
    <mergeCell ref="E331:E337"/>
    <mergeCell ref="F331:H331"/>
    <mergeCell ref="G332:H332"/>
    <mergeCell ref="G337:H337"/>
    <mergeCell ref="I331:K331"/>
    <mergeCell ref="I332:K337"/>
    <mergeCell ref="L331:N331"/>
    <mergeCell ref="L332:N337"/>
    <mergeCell ref="F324:H324"/>
    <mergeCell ref="G325:H325"/>
    <mergeCell ref="G330:H330"/>
    <mergeCell ref="I324:K324"/>
    <mergeCell ref="I325:K330"/>
    <mergeCell ref="A324:A330"/>
    <mergeCell ref="B324:B330"/>
    <mergeCell ref="C324:C330"/>
    <mergeCell ref="D324:D330"/>
    <mergeCell ref="E324:E330"/>
    <mergeCell ref="O310:Q310"/>
    <mergeCell ref="O311:Q316"/>
    <mergeCell ref="A317:A323"/>
    <mergeCell ref="B317:B323"/>
    <mergeCell ref="C317:C323"/>
    <mergeCell ref="D317:D323"/>
    <mergeCell ref="E317:E323"/>
    <mergeCell ref="F317:H317"/>
    <mergeCell ref="G318:H318"/>
    <mergeCell ref="G323:H323"/>
    <mergeCell ref="I317:K317"/>
    <mergeCell ref="I318:K323"/>
    <mergeCell ref="L317:N317"/>
    <mergeCell ref="L318:N323"/>
    <mergeCell ref="O317:Q317"/>
    <mergeCell ref="O318:Q323"/>
    <mergeCell ref="L303:N303"/>
    <mergeCell ref="L304:N309"/>
    <mergeCell ref="O303:Q303"/>
    <mergeCell ref="O304:Q309"/>
    <mergeCell ref="A310:A316"/>
    <mergeCell ref="B310:B316"/>
    <mergeCell ref="C310:C316"/>
    <mergeCell ref="D310:D316"/>
    <mergeCell ref="E310:E316"/>
    <mergeCell ref="F310:H310"/>
    <mergeCell ref="G311:H311"/>
    <mergeCell ref="G316:H316"/>
    <mergeCell ref="I310:K310"/>
    <mergeCell ref="I311:K316"/>
    <mergeCell ref="L310:N310"/>
    <mergeCell ref="L311:N316"/>
    <mergeCell ref="F303:H303"/>
    <mergeCell ref="G304:H304"/>
    <mergeCell ref="G309:H309"/>
    <mergeCell ref="I303:K303"/>
    <mergeCell ref="I304:K309"/>
    <mergeCell ref="A303:A309"/>
    <mergeCell ref="B303:B309"/>
    <mergeCell ref="C303:C309"/>
    <mergeCell ref="D303:D309"/>
    <mergeCell ref="E303:E309"/>
    <mergeCell ref="O290:Q295"/>
    <mergeCell ref="A296:A302"/>
    <mergeCell ref="B296:B302"/>
    <mergeCell ref="C296:C302"/>
    <mergeCell ref="D296:D302"/>
    <mergeCell ref="E296:E302"/>
    <mergeCell ref="F296:H296"/>
    <mergeCell ref="G297:H297"/>
    <mergeCell ref="G302:H302"/>
    <mergeCell ref="I296:K296"/>
    <mergeCell ref="I297:K302"/>
    <mergeCell ref="L296:N296"/>
    <mergeCell ref="L297:N302"/>
    <mergeCell ref="O296:Q296"/>
    <mergeCell ref="O297:Q302"/>
    <mergeCell ref="O282:Q282"/>
    <mergeCell ref="O283:Q288"/>
    <mergeCell ref="A289:A295"/>
    <mergeCell ref="B289:B295"/>
    <mergeCell ref="C289:C295"/>
    <mergeCell ref="D289:D295"/>
    <mergeCell ref="E289:E295"/>
    <mergeCell ref="F289:H289"/>
    <mergeCell ref="G290:H290"/>
    <mergeCell ref="G295:H295"/>
    <mergeCell ref="I289:K289"/>
    <mergeCell ref="J290:K290"/>
    <mergeCell ref="J295:K295"/>
    <mergeCell ref="L289:N289"/>
    <mergeCell ref="L290:N295"/>
    <mergeCell ref="O289:Q289"/>
    <mergeCell ref="L276:N281"/>
    <mergeCell ref="O275:Q275"/>
    <mergeCell ref="O276:Q281"/>
    <mergeCell ref="A282:A288"/>
    <mergeCell ref="B282:B288"/>
    <mergeCell ref="C282:C288"/>
    <mergeCell ref="D282:D288"/>
    <mergeCell ref="E282:E288"/>
    <mergeCell ref="F282:H282"/>
    <mergeCell ref="G283:H283"/>
    <mergeCell ref="G288:H288"/>
    <mergeCell ref="I282:K282"/>
    <mergeCell ref="J283:K283"/>
    <mergeCell ref="J288:K288"/>
    <mergeCell ref="L282:N282"/>
    <mergeCell ref="L283:N288"/>
    <mergeCell ref="L268:N268"/>
    <mergeCell ref="L269:N274"/>
    <mergeCell ref="O268:Q268"/>
    <mergeCell ref="O269:Q274"/>
    <mergeCell ref="A275:A281"/>
    <mergeCell ref="B275:B281"/>
    <mergeCell ref="C275:C281"/>
    <mergeCell ref="D275:D281"/>
    <mergeCell ref="E275:E281"/>
    <mergeCell ref="F275:H275"/>
    <mergeCell ref="G276:H276"/>
    <mergeCell ref="G281:H281"/>
    <mergeCell ref="I275:K275"/>
    <mergeCell ref="J276:K276"/>
    <mergeCell ref="J281:K281"/>
    <mergeCell ref="L275:N275"/>
    <mergeCell ref="F268:H268"/>
    <mergeCell ref="G269:H269"/>
    <mergeCell ref="G274:H274"/>
    <mergeCell ref="I268:K268"/>
    <mergeCell ref="J269:K269"/>
    <mergeCell ref="J274:K274"/>
    <mergeCell ref="A268:A274"/>
    <mergeCell ref="B268:B274"/>
    <mergeCell ref="C268:C274"/>
    <mergeCell ref="D268:D274"/>
    <mergeCell ref="E268:E274"/>
    <mergeCell ref="O255:Q260"/>
    <mergeCell ref="A261:A267"/>
    <mergeCell ref="B261:B267"/>
    <mergeCell ref="C261:C267"/>
    <mergeCell ref="D261:D267"/>
    <mergeCell ref="E261:E267"/>
    <mergeCell ref="F261:H261"/>
    <mergeCell ref="G262:H262"/>
    <mergeCell ref="G267:H267"/>
    <mergeCell ref="I261:K261"/>
    <mergeCell ref="I262:K267"/>
    <mergeCell ref="L261:N261"/>
    <mergeCell ref="L262:N267"/>
    <mergeCell ref="O261:Q261"/>
    <mergeCell ref="O262:Q267"/>
    <mergeCell ref="L248:N253"/>
    <mergeCell ref="O247:Q247"/>
    <mergeCell ref="O248:Q253"/>
    <mergeCell ref="A254:A260"/>
    <mergeCell ref="B254:B260"/>
    <mergeCell ref="C254:C260"/>
    <mergeCell ref="D254:D260"/>
    <mergeCell ref="E254:E260"/>
    <mergeCell ref="F254:H254"/>
    <mergeCell ref="G255:H255"/>
    <mergeCell ref="G260:H260"/>
    <mergeCell ref="I254:K254"/>
    <mergeCell ref="I255:K260"/>
    <mergeCell ref="L254:N254"/>
    <mergeCell ref="L255:N260"/>
    <mergeCell ref="O254:Q254"/>
    <mergeCell ref="L240:N240"/>
    <mergeCell ref="L241:N246"/>
    <mergeCell ref="O240:Q240"/>
    <mergeCell ref="O241:Q246"/>
    <mergeCell ref="A247:A253"/>
    <mergeCell ref="B247:B253"/>
    <mergeCell ref="C247:C253"/>
    <mergeCell ref="D247:D253"/>
    <mergeCell ref="E247:E253"/>
    <mergeCell ref="F247:H247"/>
    <mergeCell ref="G248:H248"/>
    <mergeCell ref="G253:H253"/>
    <mergeCell ref="I247:K247"/>
    <mergeCell ref="J248:K248"/>
    <mergeCell ref="J253:K253"/>
    <mergeCell ref="L247:N247"/>
    <mergeCell ref="F240:H240"/>
    <mergeCell ref="G241:H241"/>
    <mergeCell ref="G246:H246"/>
    <mergeCell ref="I240:K240"/>
    <mergeCell ref="J241:K241"/>
    <mergeCell ref="J246:K246"/>
    <mergeCell ref="A240:A246"/>
    <mergeCell ref="B240:B246"/>
    <mergeCell ref="C240:C246"/>
    <mergeCell ref="D240:D246"/>
    <mergeCell ref="E240:E246"/>
    <mergeCell ref="O227:Q232"/>
    <mergeCell ref="A233:A239"/>
    <mergeCell ref="B233:B239"/>
    <mergeCell ref="C233:C239"/>
    <mergeCell ref="D233:D239"/>
    <mergeCell ref="E233:E239"/>
    <mergeCell ref="F233:H233"/>
    <mergeCell ref="G234:H234"/>
    <mergeCell ref="G239:H239"/>
    <mergeCell ref="I233:K233"/>
    <mergeCell ref="J234:K234"/>
    <mergeCell ref="J239:K239"/>
    <mergeCell ref="L233:N233"/>
    <mergeCell ref="L234:N239"/>
    <mergeCell ref="O233:Q233"/>
    <mergeCell ref="O234:Q239"/>
    <mergeCell ref="O219:Q219"/>
    <mergeCell ref="O220:Q225"/>
    <mergeCell ref="A226:A232"/>
    <mergeCell ref="B226:B232"/>
    <mergeCell ref="C226:C232"/>
    <mergeCell ref="D226:D232"/>
    <mergeCell ref="E226:E232"/>
    <mergeCell ref="F226:H226"/>
    <mergeCell ref="G227:H227"/>
    <mergeCell ref="G232:H232"/>
    <mergeCell ref="I226:K226"/>
    <mergeCell ref="J227:K227"/>
    <mergeCell ref="J232:K232"/>
    <mergeCell ref="L226:N226"/>
    <mergeCell ref="L227:N232"/>
    <mergeCell ref="O226:Q226"/>
    <mergeCell ref="L213:N218"/>
    <mergeCell ref="O212:Q212"/>
    <mergeCell ref="O213:Q218"/>
    <mergeCell ref="A219:A225"/>
    <mergeCell ref="B219:B225"/>
    <mergeCell ref="C219:C225"/>
    <mergeCell ref="D219:D225"/>
    <mergeCell ref="E219:E225"/>
    <mergeCell ref="F219:H219"/>
    <mergeCell ref="G220:H220"/>
    <mergeCell ref="G225:H225"/>
    <mergeCell ref="I219:K219"/>
    <mergeCell ref="J220:K220"/>
    <mergeCell ref="J225:K225"/>
    <mergeCell ref="L219:N219"/>
    <mergeCell ref="L220:N225"/>
    <mergeCell ref="L205:N205"/>
    <mergeCell ref="L206:N211"/>
    <mergeCell ref="O205:Q205"/>
    <mergeCell ref="O206:Q211"/>
    <mergeCell ref="A212:A218"/>
    <mergeCell ref="B212:B218"/>
    <mergeCell ref="C212:C218"/>
    <mergeCell ref="D212:D218"/>
    <mergeCell ref="E212:E218"/>
    <mergeCell ref="F212:H212"/>
    <mergeCell ref="G213:H213"/>
    <mergeCell ref="G218:H218"/>
    <mergeCell ref="I212:K212"/>
    <mergeCell ref="J213:K213"/>
    <mergeCell ref="J218:K218"/>
    <mergeCell ref="L212:N212"/>
    <mergeCell ref="F205:H205"/>
    <mergeCell ref="G206:H206"/>
    <mergeCell ref="G211:H211"/>
    <mergeCell ref="I205:K205"/>
    <mergeCell ref="J206:K206"/>
    <mergeCell ref="J211:K211"/>
    <mergeCell ref="A205:A211"/>
    <mergeCell ref="B205:B211"/>
    <mergeCell ref="C205:C211"/>
    <mergeCell ref="D205:D211"/>
    <mergeCell ref="E205:E211"/>
    <mergeCell ref="O192:Q197"/>
    <mergeCell ref="A198:A204"/>
    <mergeCell ref="B198:B204"/>
    <mergeCell ref="C198:C204"/>
    <mergeCell ref="D198:D204"/>
    <mergeCell ref="E198:E204"/>
    <mergeCell ref="F198:H198"/>
    <mergeCell ref="G199:H199"/>
    <mergeCell ref="G204:H204"/>
    <mergeCell ref="I198:K198"/>
    <mergeCell ref="J199:K199"/>
    <mergeCell ref="J204:K204"/>
    <mergeCell ref="L198:N198"/>
    <mergeCell ref="L199:N204"/>
    <mergeCell ref="O198:Q198"/>
    <mergeCell ref="O199:Q204"/>
    <mergeCell ref="O184:Q184"/>
    <mergeCell ref="O185:Q190"/>
    <mergeCell ref="A191:A197"/>
    <mergeCell ref="B191:B197"/>
    <mergeCell ref="C191:C197"/>
    <mergeCell ref="D191:D197"/>
    <mergeCell ref="E191:E197"/>
    <mergeCell ref="F191:H191"/>
    <mergeCell ref="G192:H192"/>
    <mergeCell ref="G197:H197"/>
    <mergeCell ref="I191:K191"/>
    <mergeCell ref="J192:K192"/>
    <mergeCell ref="J197:K197"/>
    <mergeCell ref="L191:N191"/>
    <mergeCell ref="L192:N197"/>
    <mergeCell ref="O191:Q191"/>
    <mergeCell ref="L178:N183"/>
    <mergeCell ref="O177:Q177"/>
    <mergeCell ref="O178:Q183"/>
    <mergeCell ref="A184:A190"/>
    <mergeCell ref="B184:B190"/>
    <mergeCell ref="C184:C190"/>
    <mergeCell ref="D184:D190"/>
    <mergeCell ref="E184:E190"/>
    <mergeCell ref="F184:H184"/>
    <mergeCell ref="G185:H185"/>
    <mergeCell ref="G190:H190"/>
    <mergeCell ref="I184:K184"/>
    <mergeCell ref="J185:K185"/>
    <mergeCell ref="J190:K190"/>
    <mergeCell ref="L184:N184"/>
    <mergeCell ref="L185:N190"/>
    <mergeCell ref="L170:N170"/>
    <mergeCell ref="L171:N176"/>
    <mergeCell ref="O170:Q170"/>
    <mergeCell ref="O171:Q176"/>
    <mergeCell ref="A177:A183"/>
    <mergeCell ref="B177:B183"/>
    <mergeCell ref="C177:C183"/>
    <mergeCell ref="D177:D183"/>
    <mergeCell ref="E177:E183"/>
    <mergeCell ref="F177:H177"/>
    <mergeCell ref="G178:H178"/>
    <mergeCell ref="G183:H183"/>
    <mergeCell ref="I177:K177"/>
    <mergeCell ref="J178:K178"/>
    <mergeCell ref="J183:K183"/>
    <mergeCell ref="L177:N177"/>
    <mergeCell ref="F170:H170"/>
    <mergeCell ref="G171:H171"/>
    <mergeCell ref="G176:H176"/>
    <mergeCell ref="I170:K170"/>
    <mergeCell ref="J171:K171"/>
    <mergeCell ref="J176:K176"/>
    <mergeCell ref="A170:A176"/>
    <mergeCell ref="B170:B176"/>
    <mergeCell ref="C170:C176"/>
    <mergeCell ref="D170:D176"/>
    <mergeCell ref="E170:E176"/>
    <mergeCell ref="O157:Q162"/>
    <mergeCell ref="A163:A169"/>
    <mergeCell ref="B163:B169"/>
    <mergeCell ref="C163:C169"/>
    <mergeCell ref="D163:D169"/>
    <mergeCell ref="E163:E169"/>
    <mergeCell ref="F163:H163"/>
    <mergeCell ref="G164:H164"/>
    <mergeCell ref="G169:H169"/>
    <mergeCell ref="I163:K163"/>
    <mergeCell ref="J164:K164"/>
    <mergeCell ref="J169:K169"/>
    <mergeCell ref="L163:N163"/>
    <mergeCell ref="L164:N169"/>
    <mergeCell ref="O163:Q163"/>
    <mergeCell ref="O164:Q169"/>
    <mergeCell ref="O149:Q149"/>
    <mergeCell ref="O150:Q155"/>
    <mergeCell ref="A156:A162"/>
    <mergeCell ref="B156:B162"/>
    <mergeCell ref="C156:C162"/>
    <mergeCell ref="D156:D162"/>
    <mergeCell ref="E156:E162"/>
    <mergeCell ref="F156:H156"/>
    <mergeCell ref="G157:H157"/>
    <mergeCell ref="G162:H162"/>
    <mergeCell ref="I156:K156"/>
    <mergeCell ref="J157:K157"/>
    <mergeCell ref="J162:K162"/>
    <mergeCell ref="L156:N156"/>
    <mergeCell ref="L157:N162"/>
    <mergeCell ref="O156:Q156"/>
    <mergeCell ref="L143:N148"/>
    <mergeCell ref="O142:Q142"/>
    <mergeCell ref="O143:Q148"/>
    <mergeCell ref="A149:A155"/>
    <mergeCell ref="B149:B155"/>
    <mergeCell ref="C149:C155"/>
    <mergeCell ref="D149:D155"/>
    <mergeCell ref="E149:E155"/>
    <mergeCell ref="F149:H149"/>
    <mergeCell ref="G150:H150"/>
    <mergeCell ref="G155:H155"/>
    <mergeCell ref="I149:K149"/>
    <mergeCell ref="J150:K150"/>
    <mergeCell ref="J155:K155"/>
    <mergeCell ref="L149:N149"/>
    <mergeCell ref="L150:N155"/>
    <mergeCell ref="L135:N135"/>
    <mergeCell ref="L136:N141"/>
    <mergeCell ref="O135:Q135"/>
    <mergeCell ref="O136:Q141"/>
    <mergeCell ref="A142:A148"/>
    <mergeCell ref="B142:B148"/>
    <mergeCell ref="C142:C148"/>
    <mergeCell ref="D142:D148"/>
    <mergeCell ref="E142:E148"/>
    <mergeCell ref="F142:H142"/>
    <mergeCell ref="G143:H143"/>
    <mergeCell ref="G148:H148"/>
    <mergeCell ref="I142:K142"/>
    <mergeCell ref="J143:K143"/>
    <mergeCell ref="J148:K148"/>
    <mergeCell ref="L142:N142"/>
    <mergeCell ref="F135:H135"/>
    <mergeCell ref="G141:H141"/>
    <mergeCell ref="I135:K135"/>
    <mergeCell ref="J136:K136"/>
    <mergeCell ref="J141:K141"/>
    <mergeCell ref="A135:A141"/>
    <mergeCell ref="B135:B141"/>
    <mergeCell ref="C135:C141"/>
    <mergeCell ref="D135:D141"/>
    <mergeCell ref="E135:E141"/>
    <mergeCell ref="O122:Q127"/>
    <mergeCell ref="A128:A134"/>
    <mergeCell ref="B128:B134"/>
    <mergeCell ref="C128:C134"/>
    <mergeCell ref="D128:D134"/>
    <mergeCell ref="E128:E134"/>
    <mergeCell ref="F128:H128"/>
    <mergeCell ref="G129:H129"/>
    <mergeCell ref="G134:H134"/>
    <mergeCell ref="I128:K128"/>
    <mergeCell ref="J129:K129"/>
    <mergeCell ref="J134:K134"/>
    <mergeCell ref="L128:N128"/>
    <mergeCell ref="L129:N134"/>
    <mergeCell ref="O128:Q128"/>
    <mergeCell ref="O129:Q134"/>
    <mergeCell ref="O115:Q120"/>
    <mergeCell ref="A121:A127"/>
    <mergeCell ref="B121:B127"/>
    <mergeCell ref="C121:C127"/>
    <mergeCell ref="D121:D127"/>
    <mergeCell ref="E121:E127"/>
    <mergeCell ref="F121:H121"/>
    <mergeCell ref="G122:H122"/>
    <mergeCell ref="G127:H127"/>
    <mergeCell ref="I121:K121"/>
    <mergeCell ref="J122:K122"/>
    <mergeCell ref="J127:K127"/>
    <mergeCell ref="L121:N121"/>
    <mergeCell ref="L122:N127"/>
    <mergeCell ref="O121:Q121"/>
    <mergeCell ref="L108:N113"/>
    <mergeCell ref="G136:H136"/>
    <mergeCell ref="O107:Q107"/>
    <mergeCell ref="O108:Q113"/>
    <mergeCell ref="A114:A120"/>
    <mergeCell ref="B114:B120"/>
    <mergeCell ref="C114:C120"/>
    <mergeCell ref="D114:D120"/>
    <mergeCell ref="E114:E120"/>
    <mergeCell ref="F114:H114"/>
    <mergeCell ref="G115:H115"/>
    <mergeCell ref="G120:H120"/>
    <mergeCell ref="I114:K114"/>
    <mergeCell ref="J115:K115"/>
    <mergeCell ref="J120:K120"/>
    <mergeCell ref="L114:N114"/>
    <mergeCell ref="L115:N120"/>
    <mergeCell ref="M106:N106"/>
    <mergeCell ref="O100:Q100"/>
    <mergeCell ref="P101:Q101"/>
    <mergeCell ref="P106:Q106"/>
    <mergeCell ref="A107:A113"/>
    <mergeCell ref="B107:B113"/>
    <mergeCell ref="C107:C113"/>
    <mergeCell ref="D107:D113"/>
    <mergeCell ref="E107:E113"/>
    <mergeCell ref="F107:H107"/>
    <mergeCell ref="G108:H108"/>
    <mergeCell ref="G113:H113"/>
    <mergeCell ref="I107:K107"/>
    <mergeCell ref="J108:K108"/>
    <mergeCell ref="J113:K113"/>
    <mergeCell ref="L107:N107"/>
    <mergeCell ref="O114:Q114"/>
    <mergeCell ref="L94:N99"/>
    <mergeCell ref="O93:Q93"/>
    <mergeCell ref="O94:Q99"/>
    <mergeCell ref="A100:A106"/>
    <mergeCell ref="B100:B106"/>
    <mergeCell ref="C100:C106"/>
    <mergeCell ref="D100:D106"/>
    <mergeCell ref="E100:E106"/>
    <mergeCell ref="F100:H100"/>
    <mergeCell ref="G101:H101"/>
    <mergeCell ref="G106:H106"/>
    <mergeCell ref="I100:K100"/>
    <mergeCell ref="J101:K101"/>
    <mergeCell ref="J106:K106"/>
    <mergeCell ref="L100:N100"/>
    <mergeCell ref="M101:N101"/>
    <mergeCell ref="L86:N86"/>
    <mergeCell ref="L87:N92"/>
    <mergeCell ref="O86:Q86"/>
    <mergeCell ref="O87:Q92"/>
    <mergeCell ref="A93:A99"/>
    <mergeCell ref="B93:B99"/>
    <mergeCell ref="C93:C99"/>
    <mergeCell ref="D93:D99"/>
    <mergeCell ref="E93:E99"/>
    <mergeCell ref="F93:H93"/>
    <mergeCell ref="G94:H94"/>
    <mergeCell ref="G99:H99"/>
    <mergeCell ref="I93:K93"/>
    <mergeCell ref="J94:K94"/>
    <mergeCell ref="J99:K99"/>
    <mergeCell ref="L93:N93"/>
    <mergeCell ref="F86:H86"/>
    <mergeCell ref="G87:H87"/>
    <mergeCell ref="G92:H92"/>
    <mergeCell ref="I86:K86"/>
    <mergeCell ref="J87:K87"/>
    <mergeCell ref="J92:K92"/>
    <mergeCell ref="A86:A92"/>
    <mergeCell ref="B86:B92"/>
    <mergeCell ref="C86:C92"/>
    <mergeCell ref="D86:D92"/>
    <mergeCell ref="E86:E92"/>
    <mergeCell ref="O73:Q78"/>
    <mergeCell ref="A79:A85"/>
    <mergeCell ref="B79:B85"/>
    <mergeCell ref="C79:C85"/>
    <mergeCell ref="D79:D85"/>
    <mergeCell ref="E79:E85"/>
    <mergeCell ref="F79:H79"/>
    <mergeCell ref="G80:H80"/>
    <mergeCell ref="G85:H85"/>
    <mergeCell ref="I79:K79"/>
    <mergeCell ref="J80:K80"/>
    <mergeCell ref="J85:K85"/>
    <mergeCell ref="L79:N79"/>
    <mergeCell ref="L80:N85"/>
    <mergeCell ref="O79:Q79"/>
    <mergeCell ref="O80:Q85"/>
    <mergeCell ref="O65:Q65"/>
    <mergeCell ref="O66:Q71"/>
    <mergeCell ref="A72:A78"/>
    <mergeCell ref="B72:B78"/>
    <mergeCell ref="C72:C78"/>
    <mergeCell ref="D72:D78"/>
    <mergeCell ref="E72:E78"/>
    <mergeCell ref="F72:H72"/>
    <mergeCell ref="G73:H73"/>
    <mergeCell ref="G78:H78"/>
    <mergeCell ref="I72:K72"/>
    <mergeCell ref="J73:K73"/>
    <mergeCell ref="J78:K78"/>
    <mergeCell ref="L72:N72"/>
    <mergeCell ref="L73:N78"/>
    <mergeCell ref="O72:Q72"/>
    <mergeCell ref="L59:N64"/>
    <mergeCell ref="O58:Q58"/>
    <mergeCell ref="O59:Q64"/>
    <mergeCell ref="A65:A71"/>
    <mergeCell ref="B65:B71"/>
    <mergeCell ref="C65:C71"/>
    <mergeCell ref="D65:D71"/>
    <mergeCell ref="E65:E71"/>
    <mergeCell ref="F65:H65"/>
    <mergeCell ref="G66:H66"/>
    <mergeCell ref="G71:H71"/>
    <mergeCell ref="I65:K65"/>
    <mergeCell ref="J66:K66"/>
    <mergeCell ref="J71:K71"/>
    <mergeCell ref="L65:N65"/>
    <mergeCell ref="L66:N71"/>
    <mergeCell ref="L51:N51"/>
    <mergeCell ref="L52:N57"/>
    <mergeCell ref="O51:Q51"/>
    <mergeCell ref="O52:Q57"/>
    <mergeCell ref="A58:A64"/>
    <mergeCell ref="B58:B64"/>
    <mergeCell ref="C58:C64"/>
    <mergeCell ref="D58:D64"/>
    <mergeCell ref="E58:E64"/>
    <mergeCell ref="F58:H58"/>
    <mergeCell ref="G59:H59"/>
    <mergeCell ref="G64:H64"/>
    <mergeCell ref="I58:K58"/>
    <mergeCell ref="J59:K59"/>
    <mergeCell ref="J64:K64"/>
    <mergeCell ref="L58:N58"/>
    <mergeCell ref="F51:H51"/>
    <mergeCell ref="G52:H52"/>
    <mergeCell ref="G57:H57"/>
    <mergeCell ref="I51:K51"/>
    <mergeCell ref="I52:K57"/>
    <mergeCell ref="A51:A57"/>
    <mergeCell ref="B51:B57"/>
    <mergeCell ref="C51:C57"/>
    <mergeCell ref="D51:D57"/>
    <mergeCell ref="E51:E57"/>
    <mergeCell ref="O37:Q37"/>
    <mergeCell ref="O38:Q43"/>
    <mergeCell ref="A44:A50"/>
    <mergeCell ref="B44:B50"/>
    <mergeCell ref="C44:C50"/>
    <mergeCell ref="D44:D50"/>
    <mergeCell ref="E44:E50"/>
    <mergeCell ref="F44:H44"/>
    <mergeCell ref="G45:H45"/>
    <mergeCell ref="G50:H50"/>
    <mergeCell ref="I44:K44"/>
    <mergeCell ref="I45:K50"/>
    <mergeCell ref="L44:N44"/>
    <mergeCell ref="L45:N50"/>
    <mergeCell ref="O44:Q44"/>
    <mergeCell ref="O45:Q50"/>
    <mergeCell ref="L30:N30"/>
    <mergeCell ref="L31:N36"/>
    <mergeCell ref="O30:Q30"/>
    <mergeCell ref="O31:Q36"/>
    <mergeCell ref="A37:A43"/>
    <mergeCell ref="B37:B43"/>
    <mergeCell ref="C37:C43"/>
    <mergeCell ref="D37:D43"/>
    <mergeCell ref="E37:E43"/>
    <mergeCell ref="F37:H37"/>
    <mergeCell ref="G38:H38"/>
    <mergeCell ref="G43:H43"/>
    <mergeCell ref="I37:K37"/>
    <mergeCell ref="I38:K43"/>
    <mergeCell ref="L37:N37"/>
    <mergeCell ref="L38:N43"/>
    <mergeCell ref="F30:H30"/>
    <mergeCell ref="G31:H31"/>
    <mergeCell ref="G36:H36"/>
    <mergeCell ref="I30:K30"/>
    <mergeCell ref="I31:K36"/>
    <mergeCell ref="A30:A36"/>
    <mergeCell ref="B30:B36"/>
    <mergeCell ref="C30:C36"/>
    <mergeCell ref="D30:D36"/>
    <mergeCell ref="E30:E36"/>
    <mergeCell ref="O16:Q16"/>
    <mergeCell ref="O17:Q22"/>
    <mergeCell ref="A23:A29"/>
    <mergeCell ref="B23:B29"/>
    <mergeCell ref="C23:C29"/>
    <mergeCell ref="D23:D29"/>
    <mergeCell ref="E23:E29"/>
    <mergeCell ref="F23:H23"/>
    <mergeCell ref="G24:H24"/>
    <mergeCell ref="G29:H29"/>
    <mergeCell ref="I23:K23"/>
    <mergeCell ref="I24:K29"/>
    <mergeCell ref="L23:N23"/>
    <mergeCell ref="L24:N29"/>
    <mergeCell ref="O23:Q23"/>
    <mergeCell ref="O24:Q29"/>
    <mergeCell ref="L9:N9"/>
    <mergeCell ref="L10:N15"/>
    <mergeCell ref="O9:Q9"/>
    <mergeCell ref="O10:Q15"/>
    <mergeCell ref="A16:A22"/>
    <mergeCell ref="B16:B22"/>
    <mergeCell ref="C16:C22"/>
    <mergeCell ref="D16:D22"/>
    <mergeCell ref="E16:E22"/>
    <mergeCell ref="F16:H16"/>
    <mergeCell ref="G17:H17"/>
    <mergeCell ref="G22:H22"/>
    <mergeCell ref="I16:K16"/>
    <mergeCell ref="I17:K22"/>
    <mergeCell ref="L16:N16"/>
    <mergeCell ref="L17:N22"/>
    <mergeCell ref="F9:H9"/>
    <mergeCell ref="G10:H10"/>
    <mergeCell ref="G15:H15"/>
    <mergeCell ref="I9:K9"/>
    <mergeCell ref="I10:K15"/>
    <mergeCell ref="A9:A15"/>
    <mergeCell ref="B9:B15"/>
    <mergeCell ref="C9:C15"/>
    <mergeCell ref="D9:D15"/>
    <mergeCell ref="E9:E15"/>
    <mergeCell ref="B1:C1"/>
    <mergeCell ref="F1:Q1"/>
    <mergeCell ref="A2:A8"/>
    <mergeCell ref="B2:B8"/>
    <mergeCell ref="C2:C8"/>
    <mergeCell ref="D2:D8"/>
    <mergeCell ref="E2:E8"/>
    <mergeCell ref="F2:H2"/>
    <mergeCell ref="G3:H3"/>
    <mergeCell ref="G8:H8"/>
    <mergeCell ref="I2:K2"/>
    <mergeCell ref="I3:K8"/>
    <mergeCell ref="L2:N2"/>
    <mergeCell ref="L3:N8"/>
    <mergeCell ref="O2:Q2"/>
    <mergeCell ref="O3:Q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Инструкция</vt:lpstr>
      <vt:lpstr>Бартерные ресурсы</vt:lpstr>
      <vt:lpstr>Поиск</vt:lpstr>
      <vt:lpstr>Активный бартер</vt:lpstr>
      <vt:lpstr>Бартер оружие</vt:lpstr>
      <vt:lpstr>Бартер броня</vt:lpstr>
      <vt:lpstr>Бартер контейнеры и сумки</vt:lpstr>
      <vt:lpstr>Бартер обвесы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Роман Бородин</cp:lastModifiedBy>
  <dcterms:created xsi:type="dcterms:W3CDTF">2026-08-06T21:48:46Z</dcterms:created>
  <dcterms:modified xsi:type="dcterms:W3CDTF">2026-08-07T18:42:50Z</dcterms:modified>
</cp:coreProperties>
</file>