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drawings/drawing3.xml" ContentType="application/vnd.openxmlformats-officedocument.drawing+xml"/>
  <Override PartName="/xl/tables/table5.xml" ContentType="application/vnd.openxmlformats-officedocument.spreadsheetml.table+xml"/>
  <Override PartName="/xl/comments2.xml" ContentType="application/vnd.openxmlformats-officedocument.spreadsheetml.comments+xml"/>
  <Override PartName="/xl/drawings/drawing4.xml" ContentType="application/vnd.openxmlformats-officedocument.drawing+xml"/>
  <Override PartName="/xl/tables/table6.xml" ContentType="application/vnd.openxmlformats-officedocument.spreadsheetml.table+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omments6.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8.xml" ContentType="application/vnd.openxmlformats-officedocument.drawing+xml"/>
  <Override PartName="/xl/tables/table11.xml" ContentType="application/vnd.openxmlformats-officedocument.spreadsheetml.table+xml"/>
  <Override PartName="/xl/tables/table12.xml" ContentType="application/vnd.openxmlformats-officedocument.spreadsheetml.table+xml"/>
  <Override PartName="/xl/comments7.xml" ContentType="application/vnd.openxmlformats-officedocument.spreadsheetml.comments+xml"/>
  <Override PartName="/xl/drawings/drawing9.xml" ContentType="application/vnd.openxmlformats-officedocument.drawing+xml"/>
  <Override PartName="/xl/drawings/drawing10.xml" ContentType="application/vnd.openxmlformats-officedocument.drawing+xml"/>
  <Override PartName="/xl/tables/table13.xml" ContentType="application/vnd.openxmlformats-officedocument.spreadsheetml.table+xml"/>
  <Override PartName="/xl/tables/table14.xml" ContentType="application/vnd.openxmlformats-officedocument.spreadsheetml.table+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mc:AlternateContent xmlns:mc="http://schemas.openxmlformats.org/markup-compatibility/2006">
    <mc:Choice Requires="x15">
      <x15ac:absPath xmlns:x15ac="http://schemas.microsoft.com/office/spreadsheetml/2010/11/ac" url="C:\Users\homan\Desktop\university\term 8\ex design\Project2\"/>
    </mc:Choice>
  </mc:AlternateContent>
  <xr:revisionPtr revIDLastSave="0" documentId="13_ncr:1_{60E2304D-EF31-45F1-85B2-CE5E6F9145F7}" xr6:coauthVersionLast="47" xr6:coauthVersionMax="47" xr10:uidLastSave="{00000000-0000-0000-0000-000000000000}"/>
  <bookViews>
    <workbookView xWindow="-108" yWindow="-108" windowWidth="23256" windowHeight="12456" tabRatio="641" xr2:uid="{00000000-000D-0000-FFFF-FFFF00000000}"/>
  </bookViews>
  <sheets>
    <sheet name="Menu" sheetId="11" r:id="rId1"/>
    <sheet name="Introduction" sheetId="10" r:id="rId2"/>
    <sheet name="Properties" sheetId="1" r:id="rId3"/>
    <sheet name="Diameter Calc." sheetId="2" r:id="rId4"/>
    <sheet name="Plate Design Part I" sheetId="3" r:id="rId5"/>
    <sheet name="Plate Design Part II" sheetId="4" r:id="rId6"/>
    <sheet name="Plate Layout" sheetId="5" r:id="rId7"/>
    <sheet name="Weight" sheetId="6" r:id="rId8"/>
    <sheet name="Cost" sheetId="7" r:id="rId9"/>
    <sheet name="Column DataSheet" sheetId="8" r:id="rId10"/>
    <sheet name="Mechanical Design" sheetId="9"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9" i="9" l="1"/>
  <c r="C17" i="9"/>
  <c r="C16" i="9"/>
  <c r="C15" i="9"/>
  <c r="C14" i="9"/>
  <c r="C10" i="9"/>
  <c r="C9" i="9"/>
  <c r="C5" i="9"/>
  <c r="L2" i="3"/>
  <c r="C13" i="9" s="1"/>
  <c r="C13" i="5" l="1"/>
  <c r="M6" i="5"/>
  <c r="G6" i="5"/>
  <c r="C25" i="9" s="1"/>
  <c r="D6" i="5"/>
  <c r="C4" i="9" s="1"/>
  <c r="C60" i="4"/>
  <c r="J60" i="4" s="1"/>
  <c r="C59" i="4"/>
  <c r="J59" i="4" s="1"/>
  <c r="C58" i="4"/>
  <c r="J58" i="4" s="1"/>
  <c r="C57" i="4"/>
  <c r="J57" i="4" s="1"/>
  <c r="C51" i="4"/>
  <c r="D51" i="4" s="1"/>
  <c r="C52" i="4"/>
  <c r="J52" i="4" s="1"/>
  <c r="C50" i="4"/>
  <c r="J50" i="4" s="1"/>
  <c r="C49" i="4"/>
  <c r="D49" i="4" s="1"/>
  <c r="C79" i="3"/>
  <c r="C78" i="3"/>
  <c r="C77" i="3"/>
  <c r="C65" i="3"/>
  <c r="C82" i="3" s="1"/>
  <c r="C64" i="3"/>
  <c r="C81" i="3" s="1"/>
  <c r="C63" i="3"/>
  <c r="C80" i="3" s="1"/>
  <c r="C33" i="3"/>
  <c r="C50" i="3" s="1"/>
  <c r="C67" i="3" s="1"/>
  <c r="C34" i="3"/>
  <c r="C51" i="3" s="1"/>
  <c r="C68" i="3" s="1"/>
  <c r="C35" i="3"/>
  <c r="C52" i="3" s="1"/>
  <c r="C36" i="3"/>
  <c r="C53" i="3" s="1"/>
  <c r="C37" i="3"/>
  <c r="C54" i="3" s="1"/>
  <c r="C38" i="3"/>
  <c r="C39" i="3"/>
  <c r="C40" i="3"/>
  <c r="C32" i="3"/>
  <c r="C49" i="3" s="1"/>
  <c r="C66" i="3" s="1"/>
  <c r="B9" i="3"/>
  <c r="C9" i="3" s="1"/>
  <c r="D9" i="3" s="1"/>
  <c r="B8" i="3"/>
  <c r="C8" i="3" s="1"/>
  <c r="D8" i="3" s="1"/>
  <c r="B7" i="3"/>
  <c r="C7" i="3" s="1"/>
  <c r="D7" i="3" s="1"/>
  <c r="B6" i="3"/>
  <c r="C6" i="3" s="1"/>
  <c r="D6" i="3" s="1"/>
  <c r="D15" i="3" s="1"/>
  <c r="I34" i="2"/>
  <c r="I35" i="2"/>
  <c r="I36" i="2"/>
  <c r="I37" i="2"/>
  <c r="I38" i="2"/>
  <c r="I39" i="2"/>
  <c r="I40" i="2"/>
  <c r="I41" i="2"/>
  <c r="I42" i="2"/>
  <c r="I43" i="2"/>
  <c r="I44" i="2"/>
  <c r="I33" i="2"/>
  <c r="F34" i="2"/>
  <c r="F35" i="2"/>
  <c r="F36" i="2"/>
  <c r="F37" i="2"/>
  <c r="F38" i="2"/>
  <c r="F39" i="2"/>
  <c r="F40" i="2"/>
  <c r="F41" i="2"/>
  <c r="F42" i="2"/>
  <c r="F43" i="2"/>
  <c r="F44" i="2"/>
  <c r="F33" i="2"/>
  <c r="C34" i="2"/>
  <c r="C35" i="2"/>
  <c r="C36" i="2"/>
  <c r="C37" i="2"/>
  <c r="C38" i="2"/>
  <c r="C39" i="2"/>
  <c r="C40" i="2"/>
  <c r="C41" i="2"/>
  <c r="C42" i="2"/>
  <c r="C43" i="2"/>
  <c r="C44" i="2"/>
  <c r="C33" i="2"/>
  <c r="M6" i="2"/>
  <c r="M7" i="2"/>
  <c r="M8" i="2"/>
  <c r="M9" i="2"/>
  <c r="M10" i="2"/>
  <c r="M11" i="2"/>
  <c r="M5" i="2"/>
  <c r="H6" i="2"/>
  <c r="H7" i="2"/>
  <c r="H8" i="2"/>
  <c r="H9" i="2"/>
  <c r="H10" i="2"/>
  <c r="H11" i="2"/>
  <c r="H5" i="2"/>
  <c r="F6" i="2"/>
  <c r="F7" i="2"/>
  <c r="F8" i="2"/>
  <c r="F9" i="2"/>
  <c r="F10" i="2"/>
  <c r="F11" i="2"/>
  <c r="M74" i="3" s="1"/>
  <c r="F5" i="2"/>
  <c r="E6" i="2"/>
  <c r="E7" i="2"/>
  <c r="E8" i="2"/>
  <c r="H33" i="4" s="1"/>
  <c r="E9" i="2"/>
  <c r="E10" i="2"/>
  <c r="E11" i="2"/>
  <c r="H17" i="4" s="1"/>
  <c r="E5" i="2"/>
  <c r="H5" i="4" s="1"/>
  <c r="D7" i="2"/>
  <c r="D8" i="2"/>
  <c r="D9" i="2"/>
  <c r="D10" i="2"/>
  <c r="D11" i="2"/>
  <c r="D6" i="2"/>
  <c r="C6" i="2"/>
  <c r="C7" i="2"/>
  <c r="C8" i="2"/>
  <c r="C9" i="2"/>
  <c r="C10" i="2"/>
  <c r="C11" i="2"/>
  <c r="C5" i="2"/>
  <c r="N13" i="1"/>
  <c r="C23" i="5" l="1"/>
  <c r="C18" i="9"/>
  <c r="C6" i="5"/>
  <c r="C14" i="5" s="1"/>
  <c r="C21" i="6"/>
  <c r="C23" i="6" s="1"/>
  <c r="C25" i="6"/>
  <c r="C27" i="6" s="1"/>
  <c r="C17" i="6"/>
  <c r="C19" i="6" s="1"/>
  <c r="C16" i="5"/>
  <c r="C17" i="5" s="1"/>
  <c r="H6" i="5"/>
  <c r="H11" i="4"/>
  <c r="J49" i="4"/>
  <c r="J51" i="4"/>
  <c r="D52" i="4"/>
  <c r="D57" i="4"/>
  <c r="D50" i="4"/>
  <c r="D60" i="4"/>
  <c r="D58" i="4"/>
  <c r="D59" i="4"/>
  <c r="H27" i="4"/>
  <c r="H39" i="4"/>
  <c r="H32" i="3"/>
  <c r="M32" i="3"/>
  <c r="H46" i="3"/>
  <c r="M46" i="3"/>
  <c r="H60" i="3"/>
  <c r="M60" i="3"/>
  <c r="H74" i="3"/>
  <c r="N11" i="2"/>
  <c r="O8" i="2"/>
  <c r="N5" i="2"/>
  <c r="E7" i="3"/>
  <c r="F6" i="3"/>
  <c r="D24" i="3"/>
  <c r="F9" i="3"/>
  <c r="F24" i="3" s="1"/>
  <c r="F8" i="3"/>
  <c r="F21" i="3" s="1"/>
  <c r="F7" i="3"/>
  <c r="F57" i="4" s="1"/>
  <c r="H9" i="3"/>
  <c r="H24" i="3" s="1"/>
  <c r="D18" i="3"/>
  <c r="H8" i="3"/>
  <c r="G7" i="3"/>
  <c r="I7" i="3"/>
  <c r="J6" i="5" s="1"/>
  <c r="D21" i="3"/>
  <c r="H7" i="3"/>
  <c r="G6" i="3"/>
  <c r="E49" i="4" s="1"/>
  <c r="G9" i="3"/>
  <c r="G8" i="3"/>
  <c r="H6" i="3"/>
  <c r="I6" i="3"/>
  <c r="E51" i="4" s="1"/>
  <c r="E9" i="3"/>
  <c r="I9" i="3"/>
  <c r="E6" i="3"/>
  <c r="E8" i="3"/>
  <c r="I8" i="3"/>
  <c r="N7" i="2"/>
  <c r="N10" i="2"/>
  <c r="N6" i="2"/>
  <c r="N8" i="2"/>
  <c r="N9" i="2"/>
  <c r="O6" i="2"/>
  <c r="G6" i="2"/>
  <c r="I6" i="2" s="1"/>
  <c r="J6" i="2" s="1"/>
  <c r="K6" i="2" s="1"/>
  <c r="L6" i="2" s="1"/>
  <c r="O7" i="2"/>
  <c r="O5" i="2"/>
  <c r="O9" i="2"/>
  <c r="G8" i="2"/>
  <c r="E65" i="4" s="1"/>
  <c r="G9" i="2"/>
  <c r="G5" i="2"/>
  <c r="G7" i="2"/>
  <c r="G11" i="2"/>
  <c r="G10" i="2"/>
  <c r="O11" i="2"/>
  <c r="O10" i="2"/>
  <c r="C4" i="6" l="1"/>
  <c r="C10" i="6" s="1"/>
  <c r="C8" i="9" s="1"/>
  <c r="C33" i="6"/>
  <c r="C5" i="7" s="1"/>
  <c r="C7" i="7" s="1"/>
  <c r="C6" i="9"/>
  <c r="G49" i="4"/>
  <c r="C18" i="5"/>
  <c r="C19" i="5" s="1"/>
  <c r="C44" i="6"/>
  <c r="C45" i="6" s="1"/>
  <c r="C46" i="6" s="1"/>
  <c r="C35" i="6"/>
  <c r="C37" i="6" s="1"/>
  <c r="C11" i="5"/>
  <c r="B65" i="4"/>
  <c r="C65" i="4" s="1"/>
  <c r="I6" i="5"/>
  <c r="E50" i="4"/>
  <c r="G50" i="4" s="1"/>
  <c r="E57" i="4"/>
  <c r="G57" i="4" s="1"/>
  <c r="G51" i="4"/>
  <c r="E60" i="4"/>
  <c r="G60" i="4" s="1"/>
  <c r="E52" i="4"/>
  <c r="G52" i="4" s="1"/>
  <c r="H18" i="3"/>
  <c r="F59" i="4"/>
  <c r="H21" i="3"/>
  <c r="I21" i="3" s="1"/>
  <c r="I66" i="3" s="1"/>
  <c r="H15" i="3"/>
  <c r="I16" i="3" s="1"/>
  <c r="I39" i="3" s="1"/>
  <c r="F51" i="4"/>
  <c r="E59" i="4"/>
  <c r="G59" i="4" s="1"/>
  <c r="E58" i="4"/>
  <c r="G58" i="4" s="1"/>
  <c r="F18" i="3"/>
  <c r="G20" i="3" s="1"/>
  <c r="I51" i="3" s="1"/>
  <c r="F15" i="3"/>
  <c r="G15" i="3" s="1"/>
  <c r="I35" i="3" s="1"/>
  <c r="F49" i="4"/>
  <c r="D52" i="3"/>
  <c r="E52" i="3" s="1"/>
  <c r="F52" i="3" s="1"/>
  <c r="D49" i="3"/>
  <c r="E49" i="3" s="1"/>
  <c r="F49" i="3" s="1"/>
  <c r="D66" i="3"/>
  <c r="D60" i="3"/>
  <c r="E60" i="3" s="1"/>
  <c r="E32" i="3"/>
  <c r="D77" i="3"/>
  <c r="E77" i="3" s="1"/>
  <c r="K77" i="3" s="1"/>
  <c r="E35" i="3"/>
  <c r="D80" i="3"/>
  <c r="E80" i="3" s="1"/>
  <c r="K80" i="3" s="1"/>
  <c r="D74" i="3"/>
  <c r="E74" i="3" s="1"/>
  <c r="K74" i="3" s="1"/>
  <c r="E38" i="3"/>
  <c r="D46" i="3"/>
  <c r="E46" i="3" s="1"/>
  <c r="K46" i="3" s="1"/>
  <c r="D63" i="3"/>
  <c r="E63" i="3" s="1"/>
  <c r="F63" i="3" s="1"/>
  <c r="D38" i="3"/>
  <c r="D35" i="3"/>
  <c r="D32" i="3"/>
  <c r="E15" i="3"/>
  <c r="E17" i="3"/>
  <c r="E16" i="3"/>
  <c r="G22" i="3"/>
  <c r="I64" i="3" s="1"/>
  <c r="G23" i="3"/>
  <c r="I65" i="3" s="1"/>
  <c r="G21" i="3"/>
  <c r="I63" i="3" s="1"/>
  <c r="I25" i="3"/>
  <c r="I81" i="3" s="1"/>
  <c r="I26" i="3"/>
  <c r="I82" i="3" s="1"/>
  <c r="I24" i="3"/>
  <c r="I80" i="3" s="1"/>
  <c r="E22" i="3"/>
  <c r="I61" i="3" s="1"/>
  <c r="E23" i="3"/>
  <c r="I62" i="3" s="1"/>
  <c r="E21" i="3"/>
  <c r="I60" i="3" s="1"/>
  <c r="E24" i="3"/>
  <c r="I74" i="3" s="1"/>
  <c r="E26" i="3"/>
  <c r="I76" i="3" s="1"/>
  <c r="E25" i="3"/>
  <c r="I75" i="3" s="1"/>
  <c r="E19" i="3"/>
  <c r="I47" i="3" s="1"/>
  <c r="E20" i="3"/>
  <c r="I48" i="3" s="1"/>
  <c r="E18" i="3"/>
  <c r="G25" i="3"/>
  <c r="I78" i="3" s="1"/>
  <c r="G26" i="3"/>
  <c r="I79" i="3" s="1"/>
  <c r="G24" i="3"/>
  <c r="I77" i="3" s="1"/>
  <c r="P6" i="2"/>
  <c r="Q6" i="2" s="1"/>
  <c r="R6" i="2" s="1"/>
  <c r="S6" i="2" s="1"/>
  <c r="D25" i="2"/>
  <c r="E25" i="2" s="1"/>
  <c r="D16" i="2"/>
  <c r="E16" i="2" s="1"/>
  <c r="F16" i="2" s="1"/>
  <c r="G16" i="2" s="1"/>
  <c r="D19" i="2"/>
  <c r="E19" i="2" s="1"/>
  <c r="F19" i="2" s="1"/>
  <c r="D27" i="2"/>
  <c r="E27" i="2" s="1"/>
  <c r="F27" i="2" s="1"/>
  <c r="G27" i="2" s="1"/>
  <c r="D21" i="2"/>
  <c r="E21" i="2" s="1"/>
  <c r="F21" i="2" s="1"/>
  <c r="G21" i="2" s="1"/>
  <c r="D18" i="2"/>
  <c r="E18" i="2" s="1"/>
  <c r="F18" i="2" s="1"/>
  <c r="G18" i="2" s="1"/>
  <c r="D20" i="2"/>
  <c r="E20" i="2" s="1"/>
  <c r="F20" i="2" s="1"/>
  <c r="G20" i="2" s="1"/>
  <c r="D26" i="2"/>
  <c r="E26" i="2" s="1"/>
  <c r="F26" i="2" s="1"/>
  <c r="G26" i="2" s="1"/>
  <c r="D17" i="2"/>
  <c r="E17" i="2" s="1"/>
  <c r="F17" i="2" s="1"/>
  <c r="G17" i="2" s="1"/>
  <c r="I8" i="2"/>
  <c r="I9" i="2"/>
  <c r="J9" i="2" s="1"/>
  <c r="K9" i="2" s="1"/>
  <c r="I7" i="2"/>
  <c r="J7" i="2" s="1"/>
  <c r="K7" i="2" s="1"/>
  <c r="I10" i="2"/>
  <c r="J10" i="2" s="1"/>
  <c r="K10" i="2" s="1"/>
  <c r="I11" i="2"/>
  <c r="I5" i="2"/>
  <c r="C9" i="6" l="1"/>
  <c r="C7" i="9" s="1"/>
  <c r="C42" i="6"/>
  <c r="C43" i="6" s="1"/>
  <c r="C55" i="6" s="1"/>
  <c r="G19" i="2"/>
  <c r="D36" i="2" s="1"/>
  <c r="E36" i="2" s="1"/>
  <c r="C35" i="9"/>
  <c r="C37" i="9" s="1"/>
  <c r="F25" i="2"/>
  <c r="G25" i="2" s="1"/>
  <c r="H25" i="2" s="1"/>
  <c r="H42" i="2" s="1"/>
  <c r="C39" i="9"/>
  <c r="C41" i="9" s="1"/>
  <c r="C53" i="6"/>
  <c r="C4" i="7"/>
  <c r="C6" i="7" s="1"/>
  <c r="C56" i="6"/>
  <c r="G17" i="3"/>
  <c r="I37" i="3" s="1"/>
  <c r="J37" i="3" s="1"/>
  <c r="I19" i="3"/>
  <c r="K6" i="5"/>
  <c r="I23" i="3"/>
  <c r="I68" i="3" s="1"/>
  <c r="N68" i="3" s="1"/>
  <c r="I22" i="3"/>
  <c r="I67" i="3" s="1"/>
  <c r="J67" i="3" s="1"/>
  <c r="G16" i="3"/>
  <c r="I36" i="3" s="1"/>
  <c r="N36" i="3" s="1"/>
  <c r="I15" i="3"/>
  <c r="I38" i="3" s="1"/>
  <c r="J38" i="3" s="1"/>
  <c r="I17" i="3"/>
  <c r="I40" i="3" s="1"/>
  <c r="J40" i="3" s="1"/>
  <c r="E66" i="3"/>
  <c r="K66" i="3" s="1"/>
  <c r="I18" i="3"/>
  <c r="I20" i="3"/>
  <c r="I54" i="3" s="1"/>
  <c r="N54" i="3" s="1"/>
  <c r="G19" i="3"/>
  <c r="I50" i="3" s="1"/>
  <c r="J50" i="3" s="1"/>
  <c r="G18" i="3"/>
  <c r="I49" i="3" s="1"/>
  <c r="N49" i="3" s="1"/>
  <c r="E11" i="4"/>
  <c r="G11" i="4" s="1"/>
  <c r="I11" i="4" s="1"/>
  <c r="E5" i="4"/>
  <c r="G5" i="4" s="1"/>
  <c r="I5" i="4" s="1"/>
  <c r="E17" i="4"/>
  <c r="G17" i="4" s="1"/>
  <c r="I17" i="4" s="1"/>
  <c r="H49" i="4" s="1"/>
  <c r="E35" i="4"/>
  <c r="G35" i="4" s="1"/>
  <c r="I35" i="4" s="1"/>
  <c r="E41" i="4"/>
  <c r="G41" i="4" s="1"/>
  <c r="I41" i="4" s="1"/>
  <c r="E29" i="4"/>
  <c r="G29" i="4" s="1"/>
  <c r="I29" i="4" s="1"/>
  <c r="E21" i="4"/>
  <c r="G21" i="4" s="1"/>
  <c r="I21" i="4" s="1"/>
  <c r="I51" i="4" s="1"/>
  <c r="E15" i="4"/>
  <c r="E9" i="4"/>
  <c r="G9" i="4" s="1"/>
  <c r="I9" i="4" s="1"/>
  <c r="K63" i="3"/>
  <c r="K49" i="3"/>
  <c r="F46" i="3"/>
  <c r="N82" i="3"/>
  <c r="J82" i="3"/>
  <c r="N81" i="3"/>
  <c r="J81" i="3"/>
  <c r="K60" i="3"/>
  <c r="F60" i="3"/>
  <c r="J75" i="3"/>
  <c r="N75" i="3"/>
  <c r="F74" i="3"/>
  <c r="J76" i="3"/>
  <c r="N76" i="3"/>
  <c r="N80" i="3"/>
  <c r="J80" i="3"/>
  <c r="F77" i="3"/>
  <c r="J77" i="3"/>
  <c r="N77" i="3"/>
  <c r="F80" i="3"/>
  <c r="N79" i="3"/>
  <c r="J79" i="3"/>
  <c r="J78" i="3"/>
  <c r="N78" i="3"/>
  <c r="J64" i="3"/>
  <c r="N64" i="3"/>
  <c r="K52" i="3"/>
  <c r="J62" i="3"/>
  <c r="N62" i="3"/>
  <c r="N48" i="3"/>
  <c r="J48" i="3"/>
  <c r="J61" i="3"/>
  <c r="N61" i="3"/>
  <c r="J47" i="3"/>
  <c r="N47" i="3"/>
  <c r="J66" i="3"/>
  <c r="N66" i="3"/>
  <c r="N74" i="3"/>
  <c r="J74" i="3"/>
  <c r="I33" i="3"/>
  <c r="N33" i="3" s="1"/>
  <c r="I34" i="3"/>
  <c r="N34" i="3" s="1"/>
  <c r="I32" i="3"/>
  <c r="N32" i="3" s="1"/>
  <c r="J35" i="3"/>
  <c r="N35" i="3"/>
  <c r="N60" i="3"/>
  <c r="J60" i="3"/>
  <c r="I46" i="3"/>
  <c r="N46" i="3" s="1"/>
  <c r="J39" i="3"/>
  <c r="N39" i="3"/>
  <c r="J51" i="3"/>
  <c r="N51" i="3"/>
  <c r="J63" i="3"/>
  <c r="N63" i="3"/>
  <c r="J65" i="3"/>
  <c r="N65" i="3"/>
  <c r="F32" i="3"/>
  <c r="K32" i="3"/>
  <c r="F35" i="3"/>
  <c r="K35" i="3"/>
  <c r="F38" i="3"/>
  <c r="K38" i="3"/>
  <c r="H18" i="2"/>
  <c r="H35" i="2" s="1"/>
  <c r="D35" i="2"/>
  <c r="E35" i="2" s="1"/>
  <c r="G35" i="2"/>
  <c r="J35" i="2"/>
  <c r="K35" i="2" s="1"/>
  <c r="H21" i="2"/>
  <c r="H38" i="2" s="1"/>
  <c r="D38" i="2"/>
  <c r="E38" i="2" s="1"/>
  <c r="G38" i="2"/>
  <c r="J38" i="2"/>
  <c r="K38" i="2" s="1"/>
  <c r="H17" i="2"/>
  <c r="H34" i="2" s="1"/>
  <c r="J34" i="2"/>
  <c r="K34" i="2" s="1"/>
  <c r="G34" i="2"/>
  <c r="D34" i="2"/>
  <c r="E34" i="2" s="1"/>
  <c r="H26" i="2"/>
  <c r="H43" i="2" s="1"/>
  <c r="J43" i="2"/>
  <c r="K43" i="2" s="1"/>
  <c r="D43" i="2"/>
  <c r="E43" i="2" s="1"/>
  <c r="G43" i="2"/>
  <c r="H27" i="2"/>
  <c r="H44" i="2" s="1"/>
  <c r="J44" i="2"/>
  <c r="K44" i="2" s="1"/>
  <c r="G44" i="2"/>
  <c r="D44" i="2"/>
  <c r="E44" i="2" s="1"/>
  <c r="H16" i="2"/>
  <c r="H33" i="2" s="1"/>
  <c r="J33" i="2"/>
  <c r="K33" i="2" s="1"/>
  <c r="G33" i="2"/>
  <c r="D33" i="2"/>
  <c r="E33" i="2" s="1"/>
  <c r="H20" i="2"/>
  <c r="H37" i="2" s="1"/>
  <c r="D37" i="2"/>
  <c r="E37" i="2" s="1"/>
  <c r="G37" i="2"/>
  <c r="J37" i="2"/>
  <c r="K37" i="2" s="1"/>
  <c r="J11" i="2"/>
  <c r="K11" i="2" s="1"/>
  <c r="D24" i="2"/>
  <c r="E24" i="2" s="1"/>
  <c r="F24" i="2" s="1"/>
  <c r="G24" i="2" s="1"/>
  <c r="L10" i="2"/>
  <c r="P10" i="2" s="1"/>
  <c r="Q10" i="2" s="1"/>
  <c r="R10" i="2" s="1"/>
  <c r="S10" i="2" s="1"/>
  <c r="L7" i="2"/>
  <c r="P7" i="2" s="1"/>
  <c r="Q7" i="2" s="1"/>
  <c r="R7" i="2" s="1"/>
  <c r="S7" i="2" s="1"/>
  <c r="J8" i="2"/>
  <c r="K8" i="2" s="1"/>
  <c r="D65" i="4" s="1"/>
  <c r="D23" i="2"/>
  <c r="E23" i="2" s="1"/>
  <c r="F23" i="2" s="1"/>
  <c r="G23" i="2" s="1"/>
  <c r="J5" i="2"/>
  <c r="K5" i="2" s="1"/>
  <c r="D22" i="2"/>
  <c r="E22" i="2" s="1"/>
  <c r="L9" i="2"/>
  <c r="P9" i="2" s="1"/>
  <c r="Q9" i="2" s="1"/>
  <c r="R9" i="2" s="1"/>
  <c r="S9" i="2" s="1"/>
  <c r="G36" i="2" l="1"/>
  <c r="J36" i="2"/>
  <c r="K36" i="2" s="1"/>
  <c r="J42" i="2"/>
  <c r="K42" i="2" s="1"/>
  <c r="D42" i="2"/>
  <c r="E42" i="2" s="1"/>
  <c r="G42" i="2"/>
  <c r="C20" i="5"/>
  <c r="C21" i="9"/>
  <c r="H19" i="2"/>
  <c r="H36" i="2" s="1"/>
  <c r="F22" i="2"/>
  <c r="G22" i="2" s="1"/>
  <c r="C31" i="9"/>
  <c r="C33" i="9" s="1"/>
  <c r="C8" i="7"/>
  <c r="C9" i="7" s="1"/>
  <c r="D14" i="7" s="1"/>
  <c r="D15" i="7" s="1"/>
  <c r="I52" i="3"/>
  <c r="J52" i="3" s="1"/>
  <c r="L6" i="5"/>
  <c r="E43" i="4"/>
  <c r="G43" i="4" s="1"/>
  <c r="I43" i="4" s="1"/>
  <c r="I59" i="4" s="1"/>
  <c r="C38" i="6"/>
  <c r="C40" i="6" s="1"/>
  <c r="C41" i="6" s="1"/>
  <c r="J49" i="3"/>
  <c r="E19" i="4"/>
  <c r="G19" i="4" s="1"/>
  <c r="I19" i="4" s="1"/>
  <c r="J19" i="4" s="1"/>
  <c r="N37" i="3"/>
  <c r="E7" i="4"/>
  <c r="G7" i="4" s="1"/>
  <c r="I7" i="4" s="1"/>
  <c r="K7" i="4" s="1"/>
  <c r="E13" i="4"/>
  <c r="G13" i="4" s="1"/>
  <c r="I13" i="4" s="1"/>
  <c r="K13" i="4" s="1"/>
  <c r="E31" i="4"/>
  <c r="G31" i="4" s="1"/>
  <c r="I31" i="4" s="1"/>
  <c r="J31" i="4" s="1"/>
  <c r="E38" i="4"/>
  <c r="G38" i="4" s="1"/>
  <c r="I38" i="4" s="1"/>
  <c r="J38" i="4" s="1"/>
  <c r="I53" i="3"/>
  <c r="E37" i="4"/>
  <c r="G37" i="4" s="1"/>
  <c r="I37" i="4" s="1"/>
  <c r="J37" i="4" s="1"/>
  <c r="E32" i="4"/>
  <c r="G32" i="4" s="1"/>
  <c r="I32" i="4" s="1"/>
  <c r="J32" i="4" s="1"/>
  <c r="E42" i="4"/>
  <c r="G42" i="4" s="1"/>
  <c r="I42" i="4" s="1"/>
  <c r="H59" i="4" s="1"/>
  <c r="K59" i="4" s="1"/>
  <c r="E30" i="4"/>
  <c r="G30" i="4" s="1"/>
  <c r="I30" i="4" s="1"/>
  <c r="J30" i="4" s="1"/>
  <c r="E20" i="4"/>
  <c r="G20" i="4" s="1"/>
  <c r="I20" i="4" s="1"/>
  <c r="H51" i="4" s="1"/>
  <c r="E18" i="4"/>
  <c r="G18" i="4" s="1"/>
  <c r="I18" i="4" s="1"/>
  <c r="I49" i="4" s="1"/>
  <c r="N40" i="3"/>
  <c r="N38" i="3"/>
  <c r="E6" i="4"/>
  <c r="G6" i="4" s="1"/>
  <c r="I6" i="4" s="1"/>
  <c r="J6" i="4" s="1"/>
  <c r="J68" i="3"/>
  <c r="N67" i="3"/>
  <c r="J36" i="3"/>
  <c r="E39" i="4"/>
  <c r="G39" i="4" s="1"/>
  <c r="I39" i="4" s="1"/>
  <c r="H57" i="4" s="1"/>
  <c r="E22" i="4"/>
  <c r="G22" i="4" s="1"/>
  <c r="I22" i="4" s="1"/>
  <c r="K22" i="4" s="1"/>
  <c r="J54" i="3"/>
  <c r="E16" i="4"/>
  <c r="G16" i="4" s="1"/>
  <c r="I16" i="4" s="1"/>
  <c r="J16" i="4" s="1"/>
  <c r="E40" i="4"/>
  <c r="G40" i="4" s="1"/>
  <c r="I40" i="4" s="1"/>
  <c r="I57" i="4" s="1"/>
  <c r="E27" i="4"/>
  <c r="G27" i="4" s="1"/>
  <c r="I27" i="4" s="1"/>
  <c r="J27" i="4" s="1"/>
  <c r="E12" i="4"/>
  <c r="G12" i="4" s="1"/>
  <c r="I12" i="4" s="1"/>
  <c r="E8" i="4"/>
  <c r="G8" i="4" s="1"/>
  <c r="I8" i="4" s="1"/>
  <c r="K8" i="4" s="1"/>
  <c r="N50" i="3"/>
  <c r="E28" i="4"/>
  <c r="G28" i="4" s="1"/>
  <c r="I28" i="4" s="1"/>
  <c r="E34" i="4"/>
  <c r="G34" i="4" s="1"/>
  <c r="I34" i="4" s="1"/>
  <c r="F66" i="3"/>
  <c r="E44" i="4"/>
  <c r="G44" i="4" s="1"/>
  <c r="I44" i="4" s="1"/>
  <c r="J44" i="4" s="1"/>
  <c r="E36" i="4"/>
  <c r="G36" i="4" s="1"/>
  <c r="I36" i="4" s="1"/>
  <c r="J36" i="4" s="1"/>
  <c r="E10" i="4"/>
  <c r="G10" i="4" s="1"/>
  <c r="I10" i="4" s="1"/>
  <c r="K10" i="4" s="1"/>
  <c r="E33" i="4"/>
  <c r="G33" i="4" s="1"/>
  <c r="I33" i="4" s="1"/>
  <c r="K33" i="4" s="1"/>
  <c r="E14" i="4"/>
  <c r="G14" i="4" s="1"/>
  <c r="I14" i="4" s="1"/>
  <c r="J14" i="4" s="1"/>
  <c r="K11" i="4"/>
  <c r="J11" i="4"/>
  <c r="J17" i="4"/>
  <c r="H50" i="4" s="1"/>
  <c r="K17" i="4"/>
  <c r="J5" i="4"/>
  <c r="K5" i="4"/>
  <c r="G15" i="4"/>
  <c r="I15" i="4" s="1"/>
  <c r="J29" i="4"/>
  <c r="K29" i="4"/>
  <c r="J21" i="4"/>
  <c r="I52" i="4" s="1"/>
  <c r="K21" i="4"/>
  <c r="K35" i="4"/>
  <c r="J35" i="4"/>
  <c r="J41" i="4"/>
  <c r="K41" i="4"/>
  <c r="K9" i="4"/>
  <c r="J9" i="4"/>
  <c r="J34" i="3"/>
  <c r="J33" i="3"/>
  <c r="J46" i="3"/>
  <c r="J32" i="3"/>
  <c r="H24" i="2"/>
  <c r="H41" i="2" s="1"/>
  <c r="G41" i="2"/>
  <c r="D41" i="2"/>
  <c r="E41" i="2" s="1"/>
  <c r="J41" i="2"/>
  <c r="K41" i="2" s="1"/>
  <c r="H22" i="2"/>
  <c r="H39" i="2" s="1"/>
  <c r="G39" i="2"/>
  <c r="D39" i="2"/>
  <c r="E39" i="2" s="1"/>
  <c r="J39" i="2"/>
  <c r="K39" i="2" s="1"/>
  <c r="H23" i="2"/>
  <c r="H40" i="2" s="1"/>
  <c r="G40" i="2"/>
  <c r="D40" i="2"/>
  <c r="E40" i="2" s="1"/>
  <c r="J40" i="2"/>
  <c r="K40" i="2" s="1"/>
  <c r="L5" i="2"/>
  <c r="P5" i="2" s="1"/>
  <c r="Q5" i="2" s="1"/>
  <c r="R5" i="2" s="1"/>
  <c r="S5" i="2" s="1"/>
  <c r="L8" i="2"/>
  <c r="P8" i="2" s="1"/>
  <c r="Q8" i="2" s="1"/>
  <c r="R8" i="2" s="1"/>
  <c r="S8" i="2" s="1"/>
  <c r="L11" i="2"/>
  <c r="P11" i="2" s="1"/>
  <c r="Q11" i="2" s="1"/>
  <c r="R11" i="2" s="1"/>
  <c r="S11" i="2" s="1"/>
  <c r="N52" i="3" l="1"/>
  <c r="C54" i="6"/>
  <c r="C47" i="6"/>
  <c r="J7" i="4"/>
  <c r="L7" i="4" s="1"/>
  <c r="J13" i="4"/>
  <c r="L13" i="4" s="1"/>
  <c r="K38" i="4"/>
  <c r="L38" i="4" s="1"/>
  <c r="K31" i="4"/>
  <c r="L31" i="4" s="1"/>
  <c r="K19" i="4"/>
  <c r="L19" i="4" s="1"/>
  <c r="K32" i="4"/>
  <c r="L32" i="4" s="1"/>
  <c r="C24" i="5"/>
  <c r="C20" i="9" s="1"/>
  <c r="C21" i="5"/>
  <c r="C22" i="5" s="1"/>
  <c r="K37" i="4"/>
  <c r="L37" i="4" s="1"/>
  <c r="J53" i="3"/>
  <c r="N53" i="3"/>
  <c r="J42" i="4"/>
  <c r="H60" i="4" s="1"/>
  <c r="K52" i="4" s="1"/>
  <c r="K51" i="4"/>
  <c r="K20" i="4"/>
  <c r="K18" i="4"/>
  <c r="K30" i="4"/>
  <c r="K42" i="4"/>
  <c r="C24" i="9" s="1"/>
  <c r="J18" i="4"/>
  <c r="I50" i="4" s="1"/>
  <c r="K6" i="4"/>
  <c r="L6" i="4" s="1"/>
  <c r="J20" i="4"/>
  <c r="H52" i="4" s="1"/>
  <c r="J8" i="4"/>
  <c r="L8" i="4" s="1"/>
  <c r="L5" i="4"/>
  <c r="L51" i="4"/>
  <c r="L59" i="4"/>
  <c r="K49" i="4"/>
  <c r="K57" i="4"/>
  <c r="L49" i="4"/>
  <c r="L57" i="4"/>
  <c r="J22" i="4"/>
  <c r="L22" i="4" s="1"/>
  <c r="J39" i="4"/>
  <c r="H58" i="4" s="1"/>
  <c r="K44" i="4"/>
  <c r="L44" i="4" s="1"/>
  <c r="K27" i="4"/>
  <c r="L27" i="4" s="1"/>
  <c r="K16" i="4"/>
  <c r="L16" i="4" s="1"/>
  <c r="K14" i="4"/>
  <c r="L14" i="4" s="1"/>
  <c r="K39" i="4"/>
  <c r="L21" i="4"/>
  <c r="J33" i="4"/>
  <c r="L33" i="4" s="1"/>
  <c r="K36" i="4"/>
  <c r="J10" i="4"/>
  <c r="L10" i="4" s="1"/>
  <c r="L11" i="4"/>
  <c r="K40" i="4"/>
  <c r="J40" i="4"/>
  <c r="I58" i="4" s="1"/>
  <c r="K28" i="4"/>
  <c r="J28" i="4"/>
  <c r="K43" i="4"/>
  <c r="J43" i="4"/>
  <c r="I60" i="4" s="1"/>
  <c r="L17" i="4"/>
  <c r="K34" i="4"/>
  <c r="J34" i="4"/>
  <c r="K15" i="4"/>
  <c r="J15" i="4"/>
  <c r="K12" i="4"/>
  <c r="J12" i="4"/>
  <c r="L9" i="4"/>
  <c r="L41" i="4"/>
  <c r="L35" i="4"/>
  <c r="L29" i="4"/>
  <c r="L30" i="4" l="1"/>
  <c r="C22" i="9"/>
  <c r="L36" i="4"/>
  <c r="C23" i="9"/>
  <c r="C57" i="6"/>
  <c r="C48" i="6"/>
  <c r="K60" i="4"/>
  <c r="L42" i="4"/>
  <c r="L18" i="4"/>
  <c r="L20" i="4"/>
  <c r="L39" i="4"/>
  <c r="L52" i="4"/>
  <c r="L60" i="4"/>
  <c r="K50" i="4"/>
  <c r="K58" i="4"/>
  <c r="L50" i="4"/>
  <c r="L58" i="4"/>
  <c r="L28" i="4"/>
  <c r="L15" i="4"/>
  <c r="L43" i="4"/>
  <c r="L40" i="4"/>
  <c r="L34" i="4"/>
  <c r="L1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mohammad homanloo</author>
  </authors>
  <commentList>
    <comment ref="B10" authorId="0" shapeId="0" xr:uid="{9BFA9652-B209-46CF-B33D-64AAC4A0FE4F}">
      <text>
        <r>
          <rPr>
            <b/>
            <sz val="9"/>
            <color indexed="81"/>
            <rFont val="Tahoma"/>
            <family val="2"/>
          </rPr>
          <t>mohammad homanloo:</t>
        </r>
        <r>
          <rPr>
            <sz val="9"/>
            <color indexed="81"/>
            <rFont val="Tahoma"/>
            <family val="2"/>
          </rPr>
          <t xml:space="preserve">
Feed entry
</t>
        </r>
      </text>
    </comment>
    <comment ref="B23" authorId="0" shapeId="0" xr:uid="{492404FC-844F-432C-AF5C-F85A46FB3B62}">
      <text>
        <r>
          <rPr>
            <b/>
            <sz val="9"/>
            <color indexed="81"/>
            <rFont val="Tahoma"/>
            <family val="2"/>
          </rPr>
          <t>mohammad homanloo:</t>
        </r>
        <r>
          <rPr>
            <sz val="9"/>
            <color indexed="81"/>
            <rFont val="Tahoma"/>
            <family val="2"/>
          </rPr>
          <t xml:space="preserve">
Feed entry</t>
        </r>
      </text>
    </comment>
    <comment ref="J23" authorId="0" shapeId="0" xr:uid="{5B663C0E-A4BF-4623-93A3-2EDB2C5799B1}">
      <text>
        <r>
          <rPr>
            <b/>
            <sz val="9"/>
            <color indexed="81"/>
            <rFont val="Tahoma"/>
            <family val="2"/>
          </rPr>
          <t>mohammad homanloo:</t>
        </r>
        <r>
          <rPr>
            <sz val="9"/>
            <color indexed="81"/>
            <rFont val="Tahoma"/>
            <family val="2"/>
          </rPr>
          <t xml:space="preserve">
Feed entry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mohammad homanloo</author>
  </authors>
  <commentList>
    <comment ref="C3" authorId="0" shapeId="0" xr:uid="{484530B6-C277-42B4-A235-2B8AC8F87F36}">
      <text>
        <r>
          <rPr>
            <b/>
            <sz val="9"/>
            <color indexed="81"/>
            <rFont val="Tahoma"/>
            <family val="2"/>
          </rPr>
          <t>mohammad homanloo:</t>
        </r>
        <r>
          <rPr>
            <sz val="9"/>
            <color indexed="81"/>
            <rFont val="Tahoma"/>
            <family val="2"/>
          </rPr>
          <t xml:space="preserve">
Mass flux of liquid</t>
        </r>
      </text>
    </comment>
    <comment ref="D3" authorId="0" shapeId="0" xr:uid="{F877A0A3-8A47-459E-B176-9205155FBE05}">
      <text>
        <r>
          <rPr>
            <b/>
            <sz val="9"/>
            <color indexed="81"/>
            <rFont val="Tahoma"/>
            <family val="2"/>
          </rPr>
          <t>mohammad homanloo:</t>
        </r>
        <r>
          <rPr>
            <sz val="9"/>
            <color indexed="81"/>
            <rFont val="Tahoma"/>
            <family val="2"/>
          </rPr>
          <t xml:space="preserve">
Mass flux of vapor</t>
        </r>
      </text>
    </comment>
    <comment ref="E3" authorId="0" shapeId="0" xr:uid="{EB9AB733-2DAB-43EB-B9E7-CED8E9FF00DD}">
      <text>
        <r>
          <rPr>
            <b/>
            <sz val="9"/>
            <color indexed="81"/>
            <rFont val="Tahoma"/>
            <family val="2"/>
          </rPr>
          <t>mohammad homanloo:</t>
        </r>
        <r>
          <rPr>
            <sz val="9"/>
            <color indexed="81"/>
            <rFont val="Tahoma"/>
            <family val="2"/>
          </rPr>
          <t xml:space="preserve">
Density of liquid</t>
        </r>
      </text>
    </comment>
    <comment ref="F3" authorId="0" shapeId="0" xr:uid="{6BC290ED-A056-4CCD-B15E-0265142C629D}">
      <text>
        <r>
          <rPr>
            <b/>
            <sz val="9"/>
            <color indexed="81"/>
            <rFont val="Tahoma"/>
            <family val="2"/>
          </rPr>
          <t>mohammad homanloo:</t>
        </r>
        <r>
          <rPr>
            <sz val="9"/>
            <color indexed="81"/>
            <rFont val="Tahoma"/>
            <family val="2"/>
          </rPr>
          <t xml:space="preserve">
Density of vapor</t>
        </r>
      </text>
    </comment>
    <comment ref="H3" authorId="0" shapeId="0" xr:uid="{7CC22EAF-F68C-4B93-ADED-D4B0A96CB54A}">
      <text>
        <r>
          <rPr>
            <b/>
            <sz val="9"/>
            <color indexed="81"/>
            <rFont val="Tahoma"/>
            <family val="2"/>
          </rPr>
          <t>mohammad homanloo:</t>
        </r>
        <r>
          <rPr>
            <sz val="9"/>
            <color indexed="81"/>
            <rFont val="Tahoma"/>
            <family val="2"/>
          </rPr>
          <t xml:space="preserve">
surface tension</t>
        </r>
      </text>
    </comment>
    <comment ref="I3" authorId="0" shapeId="0" xr:uid="{D3F636AD-F89A-4C2F-A63C-EC4AE8913092}">
      <text>
        <r>
          <rPr>
            <b/>
            <sz val="9"/>
            <color indexed="81"/>
            <rFont val="Tahoma"/>
            <family val="2"/>
          </rPr>
          <t>mohammad homanloo:</t>
        </r>
        <r>
          <rPr>
            <sz val="9"/>
            <color indexed="81"/>
            <rFont val="Tahoma"/>
            <family val="2"/>
          </rPr>
          <t xml:space="preserve">
Capacity coefficient</t>
        </r>
      </text>
    </comment>
    <comment ref="J3" authorId="0" shapeId="0" xr:uid="{6E2D5372-9661-404A-A43B-DCBD893AE62B}">
      <text>
        <r>
          <rPr>
            <b/>
            <sz val="9"/>
            <color indexed="81"/>
            <rFont val="Tahoma"/>
            <family val="2"/>
          </rPr>
          <t>mohammad homanloo:</t>
        </r>
        <r>
          <rPr>
            <sz val="9"/>
            <color indexed="81"/>
            <rFont val="Tahoma"/>
            <family val="2"/>
          </rPr>
          <t xml:space="preserve">
Another coefficient used for calculation of flooding velosity</t>
        </r>
      </text>
    </comment>
    <comment ref="K3" authorId="0" shapeId="0" xr:uid="{3D0F408B-AC53-49C6-93F9-A1249A0109BE}">
      <text>
        <r>
          <rPr>
            <b/>
            <sz val="9"/>
            <color indexed="81"/>
            <rFont val="Tahoma"/>
            <family val="2"/>
          </rPr>
          <t>mohammad homanloo:</t>
        </r>
        <r>
          <rPr>
            <sz val="9"/>
            <color indexed="81"/>
            <rFont val="Tahoma"/>
            <family val="2"/>
          </rPr>
          <t xml:space="preserve">
Flooding velosity</t>
        </r>
      </text>
    </comment>
    <comment ref="L3" authorId="0" shapeId="0" xr:uid="{3DB1FA65-67FB-4A48-863A-C2E986E6F749}">
      <text>
        <r>
          <rPr>
            <b/>
            <sz val="9"/>
            <color indexed="81"/>
            <rFont val="Tahoma"/>
            <family val="2"/>
          </rPr>
          <t>mohammad homanloo:</t>
        </r>
        <r>
          <rPr>
            <sz val="9"/>
            <color indexed="81"/>
            <rFont val="Tahoma"/>
            <family val="2"/>
          </rPr>
          <t xml:space="preserve">
Operating velocity as 75% of the flooding velosity</t>
        </r>
      </text>
    </comment>
    <comment ref="M3" authorId="0" shapeId="0" xr:uid="{F0113F2A-E846-4CB7-8084-E6E8E45DAF60}">
      <text>
        <r>
          <rPr>
            <b/>
            <sz val="9"/>
            <color indexed="81"/>
            <rFont val="Tahoma"/>
            <family val="2"/>
          </rPr>
          <t>mohammad homanloo:</t>
        </r>
        <r>
          <rPr>
            <sz val="9"/>
            <color indexed="81"/>
            <rFont val="Tahoma"/>
            <family val="2"/>
          </rPr>
          <t xml:space="preserve">
Molecular weight for each tray composition</t>
        </r>
      </text>
    </comment>
    <comment ref="N3" authorId="0" shapeId="0" xr:uid="{0384243A-5F04-4C78-9051-BAE6999076D0}">
      <text>
        <r>
          <rPr>
            <b/>
            <sz val="9"/>
            <color indexed="81"/>
            <rFont val="Tahoma"/>
            <family val="2"/>
          </rPr>
          <t>mohammad homanloo:</t>
        </r>
        <r>
          <rPr>
            <sz val="9"/>
            <color indexed="81"/>
            <rFont val="Tahoma"/>
            <family val="2"/>
          </rPr>
          <t xml:space="preserve">
Liquid volumetric flow</t>
        </r>
      </text>
    </comment>
    <comment ref="O3" authorId="0" shapeId="0" xr:uid="{06192536-3163-468D-A061-269FE02D4E0F}">
      <text>
        <r>
          <rPr>
            <b/>
            <sz val="9"/>
            <color indexed="81"/>
            <rFont val="Tahoma"/>
            <family val="2"/>
          </rPr>
          <t>mohammad homanloo:</t>
        </r>
        <r>
          <rPr>
            <sz val="9"/>
            <color indexed="81"/>
            <rFont val="Tahoma"/>
            <family val="2"/>
          </rPr>
          <t xml:space="preserve">
Vapor volumetric flow</t>
        </r>
      </text>
    </comment>
    <comment ref="P3" authorId="0" shapeId="0" xr:uid="{383BC7ED-6720-400A-B7ED-80B2CC534F9A}">
      <text>
        <r>
          <rPr>
            <b/>
            <sz val="9"/>
            <color indexed="81"/>
            <rFont val="Tahoma"/>
            <family val="2"/>
          </rPr>
          <t>mohammad homanloo:</t>
        </r>
        <r>
          <rPr>
            <sz val="9"/>
            <color indexed="81"/>
            <rFont val="Tahoma"/>
            <family val="2"/>
          </rPr>
          <t xml:space="preserve">
Net area required</t>
        </r>
      </text>
    </comment>
    <comment ref="Q3" authorId="0" shapeId="0" xr:uid="{DFCAA365-1B53-4319-969C-B460E01DFEE9}">
      <text>
        <r>
          <rPr>
            <b/>
            <sz val="9"/>
            <color indexed="81"/>
            <rFont val="Tahoma"/>
            <family val="2"/>
          </rPr>
          <t>mohammad homanloo:</t>
        </r>
        <r>
          <rPr>
            <sz val="9"/>
            <color indexed="81"/>
            <rFont val="Tahoma"/>
            <family val="2"/>
          </rPr>
          <t xml:space="preserve">
Area required considering downcomer area to be </t>
        </r>
        <r>
          <rPr>
            <b/>
            <sz val="9"/>
            <color indexed="81"/>
            <rFont val="Tahoma"/>
            <family val="2"/>
          </rPr>
          <t>12%</t>
        </r>
        <r>
          <rPr>
            <sz val="9"/>
            <color indexed="81"/>
            <rFont val="Tahoma"/>
            <family val="2"/>
          </rPr>
          <t xml:space="preserve"> of the net area</t>
        </r>
      </text>
    </comment>
    <comment ref="R3" authorId="0" shapeId="0" xr:uid="{ECF34E97-5604-4629-9DBD-3648AEDDBA00}">
      <text>
        <r>
          <rPr>
            <b/>
            <sz val="9"/>
            <color indexed="81"/>
            <rFont val="Tahoma"/>
            <family val="2"/>
          </rPr>
          <t>mohammad homanloo:</t>
        </r>
        <r>
          <rPr>
            <sz val="9"/>
            <color indexed="81"/>
            <rFont val="Tahoma"/>
            <family val="2"/>
          </rPr>
          <t xml:space="preserve">
Column diameter in meters</t>
        </r>
      </text>
    </comment>
    <comment ref="S3" authorId="0" shapeId="0" xr:uid="{55814123-82D6-495E-B824-0E0C6364BC1E}">
      <text>
        <r>
          <rPr>
            <b/>
            <sz val="9"/>
            <color indexed="81"/>
            <rFont val="Tahoma"/>
            <family val="2"/>
          </rPr>
          <t>mohammad homanloo:</t>
        </r>
        <r>
          <rPr>
            <sz val="9"/>
            <color indexed="81"/>
            <rFont val="Tahoma"/>
            <family val="2"/>
          </rPr>
          <t xml:space="preserve">
Column diameter in inches</t>
        </r>
      </text>
    </comment>
    <comment ref="N5" authorId="0" shapeId="0" xr:uid="{A67AA52B-7610-4EE9-9844-FCAC4E198AF8}">
      <text>
        <r>
          <rPr>
            <b/>
            <sz val="9"/>
            <color indexed="81"/>
            <rFont val="Tahoma"/>
            <family val="2"/>
          </rPr>
          <t>mohammad homanloo:</t>
        </r>
        <r>
          <rPr>
            <sz val="9"/>
            <color indexed="81"/>
            <rFont val="Tahoma"/>
            <family val="2"/>
          </rPr>
          <t xml:space="preserve">
Minimum volumetric liquid rate
</t>
        </r>
      </text>
    </comment>
    <comment ref="O8" authorId="0" shapeId="0" xr:uid="{132197E3-0ABA-4DA0-8177-79433A24FAD5}">
      <text>
        <r>
          <rPr>
            <b/>
            <sz val="9"/>
            <color indexed="81"/>
            <rFont val="Tahoma"/>
            <family val="2"/>
          </rPr>
          <t>mohammad homanloo:</t>
        </r>
        <r>
          <rPr>
            <sz val="9"/>
            <color indexed="81"/>
            <rFont val="Tahoma"/>
            <family val="2"/>
          </rPr>
          <t xml:space="preserve">
Maximum volumetric vapor rate</t>
        </r>
      </text>
    </comment>
    <comment ref="N11" authorId="0" shapeId="0" xr:uid="{9D604DC4-55F8-4A6B-B7F7-1B8104F7E599}">
      <text>
        <r>
          <rPr>
            <b/>
            <sz val="9"/>
            <color indexed="81"/>
            <rFont val="Tahoma"/>
            <family val="2"/>
          </rPr>
          <t>mohammad homanloo:</t>
        </r>
        <r>
          <rPr>
            <sz val="9"/>
            <color indexed="81"/>
            <rFont val="Tahoma"/>
            <family val="2"/>
          </rPr>
          <t xml:space="preserve">
Maximum volumetric liquid rate</t>
        </r>
      </text>
    </comment>
    <comment ref="O11" authorId="0" shapeId="0" xr:uid="{55E21377-5D00-4502-8B1F-8CA6673FB547}">
      <text>
        <r>
          <rPr>
            <b/>
            <sz val="9"/>
            <color indexed="81"/>
            <rFont val="Tahoma"/>
            <family val="2"/>
          </rPr>
          <t>mohammad homanloo:</t>
        </r>
        <r>
          <rPr>
            <sz val="9"/>
            <color indexed="81"/>
            <rFont val="Tahoma"/>
            <family val="2"/>
          </rPr>
          <t xml:space="preserve">
Minimum volumetric vapor rate
</t>
        </r>
      </text>
    </comment>
    <comment ref="I15" authorId="0" shapeId="0" xr:uid="{E0D9AF5E-AA23-44A8-A559-35A6A2C6ECD5}">
      <text>
        <r>
          <rPr>
            <b/>
            <sz val="9"/>
            <color indexed="81"/>
            <rFont val="Tahoma"/>
            <family val="2"/>
          </rPr>
          <t>mohammad homanloo:</t>
        </r>
        <r>
          <rPr>
            <sz val="9"/>
            <color indexed="81"/>
            <rFont val="Tahoma"/>
            <family val="2"/>
          </rPr>
          <t xml:space="preserve">
Closest standard industrial pipe size</t>
        </r>
      </text>
    </comment>
    <comment ref="E35" authorId="0" shapeId="0" xr:uid="{B4955CE4-AF0D-4170-A6AB-DD4BD6D44859}">
      <text>
        <r>
          <rPr>
            <b/>
            <sz val="9"/>
            <color indexed="81"/>
            <rFont val="Tahoma"/>
            <family val="2"/>
          </rPr>
          <t>mohammad homanloo:</t>
        </r>
        <r>
          <rPr>
            <sz val="9"/>
            <color indexed="81"/>
            <rFont val="Tahoma"/>
            <family val="2"/>
          </rPr>
          <t xml:space="preserve">
Standard size: 44 inch</t>
        </r>
      </text>
    </comment>
    <comment ref="H35" authorId="0" shapeId="0" xr:uid="{67E29074-B510-4B22-BD7C-1D1E5D1BD553}">
      <text>
        <r>
          <rPr>
            <b/>
            <sz val="9"/>
            <color indexed="81"/>
            <rFont val="Tahoma"/>
            <family val="2"/>
          </rPr>
          <t>mohammad homanloo:</t>
        </r>
        <r>
          <rPr>
            <sz val="9"/>
            <color indexed="81"/>
            <rFont val="Tahoma"/>
            <family val="2"/>
          </rPr>
          <t xml:space="preserve">
Standard size: 46</t>
        </r>
      </text>
    </comment>
    <comment ref="K35" authorId="0" shapeId="0" xr:uid="{F4AD4908-0849-4C1E-BDCD-AAF44DC8DA5E}">
      <text>
        <r>
          <rPr>
            <b/>
            <sz val="9"/>
            <color indexed="81"/>
            <rFont val="Tahoma"/>
            <family val="2"/>
          </rPr>
          <t>mohammad homanloo:</t>
        </r>
        <r>
          <rPr>
            <sz val="9"/>
            <color indexed="81"/>
            <rFont val="Tahoma"/>
            <family val="2"/>
          </rPr>
          <t xml:space="preserve">
Standard size: 46 inch</t>
        </r>
      </text>
    </comment>
    <comment ref="E38" authorId="0" shapeId="0" xr:uid="{42E1C53C-1E2F-4F51-BD48-AAD475E67474}">
      <text>
        <r>
          <rPr>
            <b/>
            <sz val="9"/>
            <color indexed="81"/>
            <rFont val="Tahoma"/>
            <family val="2"/>
          </rPr>
          <t>mohammad homanloo:</t>
        </r>
        <r>
          <rPr>
            <sz val="9"/>
            <color indexed="81"/>
            <rFont val="Tahoma"/>
            <family val="2"/>
          </rPr>
          <t xml:space="preserve">
Standard size: 40 inch</t>
        </r>
      </text>
    </comment>
    <comment ref="H38" authorId="0" shapeId="0" xr:uid="{FEDA0406-17CC-4376-B80D-D5A35B9D0AB1}">
      <text>
        <r>
          <rPr>
            <b/>
            <sz val="9"/>
            <color indexed="81"/>
            <rFont val="Tahoma"/>
            <family val="2"/>
          </rPr>
          <t>mohammad homanloo:</t>
        </r>
        <r>
          <rPr>
            <sz val="9"/>
            <color indexed="81"/>
            <rFont val="Tahoma"/>
            <family val="2"/>
          </rPr>
          <t xml:space="preserve">
Standard size: 40 inch</t>
        </r>
      </text>
    </comment>
    <comment ref="K38" authorId="0" shapeId="0" xr:uid="{70AB8620-3CCD-4F8D-B4ED-529296893D4D}">
      <text>
        <r>
          <rPr>
            <b/>
            <sz val="9"/>
            <color indexed="81"/>
            <rFont val="Tahoma"/>
            <family val="2"/>
          </rPr>
          <t>mohammad homanloo:</t>
        </r>
        <r>
          <rPr>
            <sz val="9"/>
            <color indexed="81"/>
            <rFont val="Tahoma"/>
            <family val="2"/>
          </rPr>
          <t xml:space="preserve">
Standard size: 40 inch</t>
        </r>
      </text>
    </comment>
    <comment ref="E41" authorId="0" shapeId="0" xr:uid="{201A46F8-A4B4-4A21-9313-76724934A82F}">
      <text>
        <r>
          <rPr>
            <b/>
            <sz val="9"/>
            <color indexed="81"/>
            <rFont val="Tahoma"/>
            <family val="2"/>
          </rPr>
          <t>mohammad homanloo:</t>
        </r>
        <r>
          <rPr>
            <sz val="9"/>
            <color indexed="81"/>
            <rFont val="Tahoma"/>
            <family val="2"/>
          </rPr>
          <t xml:space="preserve">
Standard size: 36 inch</t>
        </r>
      </text>
    </comment>
    <comment ref="H41" authorId="0" shapeId="0" xr:uid="{2F5C630F-52CE-41C7-8B6F-04525C88255B}">
      <text>
        <r>
          <rPr>
            <b/>
            <sz val="9"/>
            <color indexed="81"/>
            <rFont val="Tahoma"/>
            <family val="2"/>
          </rPr>
          <t>mohammad homanloo:</t>
        </r>
        <r>
          <rPr>
            <sz val="9"/>
            <color indexed="81"/>
            <rFont val="Tahoma"/>
            <family val="2"/>
          </rPr>
          <t xml:space="preserve">
Standard size: 36 inch</t>
        </r>
      </text>
    </comment>
    <comment ref="K41" authorId="0" shapeId="0" xr:uid="{88176B53-E3BD-4A44-BAD4-E52C913C4815}">
      <text>
        <r>
          <rPr>
            <b/>
            <sz val="9"/>
            <color indexed="81"/>
            <rFont val="Tahoma"/>
            <family val="2"/>
          </rPr>
          <t>mohammad homanloo:</t>
        </r>
        <r>
          <rPr>
            <sz val="9"/>
            <color indexed="81"/>
            <rFont val="Tahoma"/>
            <family val="2"/>
          </rPr>
          <t xml:space="preserve">
Standard size: 36 inch</t>
        </r>
      </text>
    </comment>
    <comment ref="E44" authorId="0" shapeId="0" xr:uid="{DB7E50FF-25F9-4D7E-A6E8-BAB4D6B41949}">
      <text>
        <r>
          <rPr>
            <b/>
            <sz val="9"/>
            <color indexed="81"/>
            <rFont val="Tahoma"/>
            <family val="2"/>
          </rPr>
          <t>mohammad homanloo:</t>
        </r>
        <r>
          <rPr>
            <sz val="9"/>
            <color indexed="81"/>
            <rFont val="Tahoma"/>
            <family val="2"/>
          </rPr>
          <t xml:space="preserve">
Standard size: 30 inch</t>
        </r>
      </text>
    </comment>
    <comment ref="H44" authorId="0" shapeId="0" xr:uid="{BA77E43F-51D8-41BB-90AE-ED24EF3F2448}">
      <text>
        <r>
          <rPr>
            <b/>
            <sz val="9"/>
            <color indexed="81"/>
            <rFont val="Tahoma"/>
            <family val="2"/>
          </rPr>
          <t>mohammad homanloo:</t>
        </r>
        <r>
          <rPr>
            <sz val="9"/>
            <color indexed="81"/>
            <rFont val="Tahoma"/>
            <family val="2"/>
          </rPr>
          <t xml:space="preserve">
Standard size: 32 inch</t>
        </r>
      </text>
    </comment>
    <comment ref="K44" authorId="0" shapeId="0" xr:uid="{0951E641-E2E2-4F97-8EB8-B21739643BAA}">
      <text>
        <r>
          <rPr>
            <b/>
            <sz val="9"/>
            <color indexed="81"/>
            <rFont val="Tahoma"/>
            <family val="2"/>
          </rPr>
          <t>mohammad homanloo:</t>
        </r>
        <r>
          <rPr>
            <sz val="9"/>
            <color indexed="81"/>
            <rFont val="Tahoma"/>
            <family val="2"/>
          </rPr>
          <t xml:space="preserve">
Standard size: 32 inch</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mohammad homanloo</author>
  </authors>
  <commentList>
    <comment ref="B6" authorId="0" shapeId="0" xr:uid="{74769BA2-AA88-4B93-832A-578C0773EF04}">
      <text>
        <r>
          <rPr>
            <b/>
            <sz val="9"/>
            <color indexed="81"/>
            <rFont val="Tahoma"/>
            <family val="2"/>
          </rPr>
          <t>mohammad homanloo:</t>
        </r>
        <r>
          <rPr>
            <sz val="9"/>
            <color indexed="81"/>
            <rFont val="Tahoma"/>
            <family val="2"/>
          </rPr>
          <t xml:space="preserve">
32 inch</t>
        </r>
      </text>
    </comment>
    <comment ref="B7" authorId="0" shapeId="0" xr:uid="{259D19B2-A108-49A6-918D-90522652A462}">
      <text>
        <r>
          <rPr>
            <b/>
            <sz val="9"/>
            <color indexed="81"/>
            <rFont val="Tahoma"/>
            <family val="2"/>
          </rPr>
          <t>mohammad homanloo:</t>
        </r>
        <r>
          <rPr>
            <sz val="9"/>
            <color indexed="81"/>
            <rFont val="Tahoma"/>
            <family val="2"/>
          </rPr>
          <t xml:space="preserve">
36 inch</t>
        </r>
      </text>
    </comment>
    <comment ref="B8" authorId="0" shapeId="0" xr:uid="{DCCDBDA9-6462-41ED-9FDF-4CC7C1EAA667}">
      <text>
        <r>
          <rPr>
            <b/>
            <sz val="9"/>
            <color indexed="81"/>
            <rFont val="Tahoma"/>
            <family val="2"/>
          </rPr>
          <t>mohammad homanloo:</t>
        </r>
        <r>
          <rPr>
            <sz val="9"/>
            <color indexed="81"/>
            <rFont val="Tahoma"/>
            <family val="2"/>
          </rPr>
          <t xml:space="preserve">
40 inch</t>
        </r>
      </text>
    </comment>
    <comment ref="B9" authorId="0" shapeId="0" xr:uid="{24C807CD-2659-4630-AD1D-B8A313B130B8}">
      <text>
        <r>
          <rPr>
            <b/>
            <sz val="9"/>
            <color indexed="81"/>
            <rFont val="Tahoma"/>
            <family val="2"/>
          </rPr>
          <t>mohammad homanloo:</t>
        </r>
        <r>
          <rPr>
            <sz val="9"/>
            <color indexed="81"/>
            <rFont val="Tahoma"/>
            <family val="2"/>
          </rPr>
          <t xml:space="preserve">
46 inch</t>
        </r>
      </text>
    </comment>
    <comment ref="D31" authorId="0" shapeId="0" xr:uid="{36A636CE-72B5-41F4-A7D8-13CC69D6A256}">
      <text>
        <r>
          <rPr>
            <b/>
            <sz val="9"/>
            <color indexed="81"/>
            <rFont val="Tahoma"/>
            <charset val="1"/>
          </rPr>
          <t>mohammad homanloo:</t>
        </r>
        <r>
          <rPr>
            <sz val="9"/>
            <color indexed="81"/>
            <rFont val="Tahoma"/>
            <charset val="1"/>
          </rPr>
          <t xml:space="preserve">
Maximum height of liquid over weir.</t>
        </r>
      </text>
    </comment>
    <comment ref="E31" authorId="0" shapeId="0" xr:uid="{1CCB3250-003C-4B2E-8FBF-0D164D0040F7}">
      <text>
        <r>
          <rPr>
            <b/>
            <sz val="9"/>
            <color indexed="81"/>
            <rFont val="Tahoma"/>
            <charset val="1"/>
          </rPr>
          <t>mohammad homanloo:</t>
        </r>
        <r>
          <rPr>
            <sz val="9"/>
            <color indexed="81"/>
            <rFont val="Tahoma"/>
            <charset val="1"/>
          </rPr>
          <t xml:space="preserve">
Minimum height of liquid over weir.</t>
        </r>
      </text>
    </comment>
    <comment ref="F31" authorId="0" shapeId="0" xr:uid="{BA1FD449-1694-44AD-86DC-54D9031A32C7}">
      <text>
        <r>
          <rPr>
            <b/>
            <sz val="9"/>
            <color indexed="81"/>
            <rFont val="Tahoma"/>
            <charset val="1"/>
          </rPr>
          <t>mohammad homanloo:</t>
        </r>
        <r>
          <rPr>
            <sz val="9"/>
            <color indexed="81"/>
            <rFont val="Tahoma"/>
            <charset val="1"/>
          </rPr>
          <t xml:space="preserve">
Considering 2 inch weir height</t>
        </r>
      </text>
    </comment>
    <comment ref="G31" authorId="0" shapeId="0" xr:uid="{3C3D1D22-5BAF-49F3-AE6E-CF0DDD7F26A8}">
      <text>
        <r>
          <rPr>
            <b/>
            <sz val="9"/>
            <color indexed="81"/>
            <rFont val="Tahoma"/>
            <charset val="1"/>
          </rPr>
          <t>mohammad homanloo:</t>
        </r>
        <r>
          <rPr>
            <sz val="9"/>
            <color indexed="81"/>
            <rFont val="Tahoma"/>
            <charset val="1"/>
          </rPr>
          <t xml:space="preserve">
Coefficient from figure above</t>
        </r>
      </text>
    </comment>
    <comment ref="H31" authorId="0" shapeId="0" xr:uid="{7D606299-3F97-4B26-B4BE-A96598983AA2}">
      <text>
        <r>
          <rPr>
            <b/>
            <sz val="9"/>
            <color indexed="81"/>
            <rFont val="Tahoma"/>
            <charset val="1"/>
          </rPr>
          <t>mohammad homanloo:</t>
        </r>
        <r>
          <rPr>
            <sz val="9"/>
            <color indexed="81"/>
            <rFont val="Tahoma"/>
            <charset val="1"/>
          </rPr>
          <t xml:space="preserve">
Minimum velocity at 7th tray</t>
        </r>
      </text>
    </comment>
    <comment ref="I31" authorId="0" shapeId="0" xr:uid="{B8691033-6AD9-41DE-8178-2E9C10A9C148}">
      <text>
        <r>
          <rPr>
            <b/>
            <sz val="9"/>
            <color indexed="81"/>
            <rFont val="Tahoma"/>
            <charset val="1"/>
          </rPr>
          <t>mohammad homanloo:</t>
        </r>
        <r>
          <rPr>
            <sz val="9"/>
            <color indexed="81"/>
            <rFont val="Tahoma"/>
            <charset val="1"/>
          </rPr>
          <t xml:space="preserve">
Actual minimum velocity. 2 inch weir height</t>
        </r>
      </text>
    </comment>
    <comment ref="K31" authorId="0" shapeId="0" xr:uid="{AC01DCF3-6763-4B7B-911B-D9CAE386770A}">
      <text>
        <r>
          <rPr>
            <b/>
            <sz val="9"/>
            <color indexed="81"/>
            <rFont val="Tahoma"/>
            <charset val="1"/>
          </rPr>
          <t>mohammad homanloo:</t>
        </r>
        <r>
          <rPr>
            <sz val="9"/>
            <color indexed="81"/>
            <rFont val="Tahoma"/>
            <charset val="1"/>
          </rPr>
          <t xml:space="preserve">
Considering 3 inch weir height</t>
        </r>
      </text>
    </comment>
    <comment ref="L31" authorId="0" shapeId="0" xr:uid="{B4F69A13-BB89-4507-A924-88F56D65639E}">
      <text>
        <r>
          <rPr>
            <b/>
            <sz val="9"/>
            <color indexed="81"/>
            <rFont val="Tahoma"/>
            <charset val="1"/>
          </rPr>
          <t>mohammad homanloo:</t>
        </r>
        <r>
          <rPr>
            <sz val="9"/>
            <color indexed="81"/>
            <rFont val="Tahoma"/>
            <charset val="1"/>
          </rPr>
          <t xml:space="preserve">
Coefficient from figure above</t>
        </r>
      </text>
    </comment>
    <comment ref="M31" authorId="0" shapeId="0" xr:uid="{F6625677-46DC-482A-9E67-DF34063BDC53}">
      <text>
        <r>
          <rPr>
            <b/>
            <sz val="9"/>
            <color indexed="81"/>
            <rFont val="Tahoma"/>
            <charset val="1"/>
          </rPr>
          <t>mohammad homanloo:</t>
        </r>
        <r>
          <rPr>
            <sz val="9"/>
            <color indexed="81"/>
            <rFont val="Tahoma"/>
            <charset val="1"/>
          </rPr>
          <t xml:space="preserve">
Actual minimum velocity. 3 inch weir height</t>
        </r>
      </text>
    </comment>
    <comment ref="D45" authorId="0" shapeId="0" xr:uid="{733F2302-3BAC-4690-B489-BD810ADBF4CF}">
      <text>
        <r>
          <rPr>
            <b/>
            <sz val="9"/>
            <color indexed="81"/>
            <rFont val="Tahoma"/>
            <charset val="1"/>
          </rPr>
          <t>mohammad homanloo:</t>
        </r>
        <r>
          <rPr>
            <sz val="9"/>
            <color indexed="81"/>
            <rFont val="Tahoma"/>
            <charset val="1"/>
          </rPr>
          <t xml:space="preserve">
Maximum height of liquid over weir.</t>
        </r>
      </text>
    </comment>
    <comment ref="E45" authorId="0" shapeId="0" xr:uid="{A0AF1C0B-F352-43F7-B977-A9229B945893}">
      <text>
        <r>
          <rPr>
            <b/>
            <sz val="9"/>
            <color indexed="81"/>
            <rFont val="Tahoma"/>
            <charset val="1"/>
          </rPr>
          <t>mohammad homanloo:</t>
        </r>
        <r>
          <rPr>
            <sz val="9"/>
            <color indexed="81"/>
            <rFont val="Tahoma"/>
            <charset val="1"/>
          </rPr>
          <t xml:space="preserve">
Minimum height of liquid over weir.</t>
        </r>
      </text>
    </comment>
    <comment ref="F45" authorId="0" shapeId="0" xr:uid="{29C4500C-DC30-4286-AB20-462205459E2E}">
      <text>
        <r>
          <rPr>
            <b/>
            <sz val="9"/>
            <color indexed="81"/>
            <rFont val="Tahoma"/>
            <charset val="1"/>
          </rPr>
          <t>mohammad homanloo:</t>
        </r>
        <r>
          <rPr>
            <sz val="9"/>
            <color indexed="81"/>
            <rFont val="Tahoma"/>
            <charset val="1"/>
          </rPr>
          <t xml:space="preserve">
Considering 2 inch weir height</t>
        </r>
      </text>
    </comment>
    <comment ref="G45" authorId="0" shapeId="0" xr:uid="{966F2FF1-B93D-4883-9CE3-F640B816125A}">
      <text>
        <r>
          <rPr>
            <b/>
            <sz val="9"/>
            <color indexed="81"/>
            <rFont val="Tahoma"/>
            <charset val="1"/>
          </rPr>
          <t>mohammad homanloo:</t>
        </r>
        <r>
          <rPr>
            <sz val="9"/>
            <color indexed="81"/>
            <rFont val="Tahoma"/>
            <charset val="1"/>
          </rPr>
          <t xml:space="preserve">
Coefficient from figure above</t>
        </r>
      </text>
    </comment>
    <comment ref="H45" authorId="0" shapeId="0" xr:uid="{DCE02AD4-2F85-47EF-8109-7B283DD0B37B}">
      <text>
        <r>
          <rPr>
            <b/>
            <sz val="9"/>
            <color indexed="81"/>
            <rFont val="Tahoma"/>
            <charset val="1"/>
          </rPr>
          <t>mohammad homanloo:</t>
        </r>
        <r>
          <rPr>
            <sz val="9"/>
            <color indexed="81"/>
            <rFont val="Tahoma"/>
            <charset val="1"/>
          </rPr>
          <t xml:space="preserve">
Minimum velocity at 7th tray</t>
        </r>
      </text>
    </comment>
    <comment ref="I45" authorId="0" shapeId="0" xr:uid="{E619F61D-D3D1-4260-AB33-8A125333C25E}">
      <text>
        <r>
          <rPr>
            <b/>
            <sz val="9"/>
            <color indexed="81"/>
            <rFont val="Tahoma"/>
            <charset val="1"/>
          </rPr>
          <t>mohammad homanloo:</t>
        </r>
        <r>
          <rPr>
            <sz val="9"/>
            <color indexed="81"/>
            <rFont val="Tahoma"/>
            <charset val="1"/>
          </rPr>
          <t xml:space="preserve">
Actual minimum velocity. 2 inch weir height</t>
        </r>
      </text>
    </comment>
    <comment ref="K45" authorId="0" shapeId="0" xr:uid="{4E866A45-09FC-4585-B433-1CDB72C7A4C9}">
      <text>
        <r>
          <rPr>
            <b/>
            <sz val="9"/>
            <color indexed="81"/>
            <rFont val="Tahoma"/>
            <charset val="1"/>
          </rPr>
          <t>mohammad homanloo:</t>
        </r>
        <r>
          <rPr>
            <sz val="9"/>
            <color indexed="81"/>
            <rFont val="Tahoma"/>
            <charset val="1"/>
          </rPr>
          <t xml:space="preserve">
Considering 3 inch weir height</t>
        </r>
      </text>
    </comment>
    <comment ref="L45" authorId="0" shapeId="0" xr:uid="{429D0225-A406-41D7-9BE4-A5632F359E3E}">
      <text>
        <r>
          <rPr>
            <b/>
            <sz val="9"/>
            <color indexed="81"/>
            <rFont val="Tahoma"/>
            <charset val="1"/>
          </rPr>
          <t>mohammad homanloo:</t>
        </r>
        <r>
          <rPr>
            <sz val="9"/>
            <color indexed="81"/>
            <rFont val="Tahoma"/>
            <charset val="1"/>
          </rPr>
          <t xml:space="preserve">
Coefficient from figure above</t>
        </r>
      </text>
    </comment>
    <comment ref="M45" authorId="0" shapeId="0" xr:uid="{E112D56A-F0AE-432E-975C-E2199A0B1899}">
      <text>
        <r>
          <rPr>
            <b/>
            <sz val="9"/>
            <color indexed="81"/>
            <rFont val="Tahoma"/>
            <charset val="1"/>
          </rPr>
          <t>mohammad homanloo:</t>
        </r>
        <r>
          <rPr>
            <sz val="9"/>
            <color indexed="81"/>
            <rFont val="Tahoma"/>
            <charset val="1"/>
          </rPr>
          <t xml:space="preserve">
Actual minimum velocity. 3 inch weir height</t>
        </r>
      </text>
    </comment>
    <comment ref="D59" authorId="0" shapeId="0" xr:uid="{3DEDC730-8793-4FE2-8C91-2DB23013533B}">
      <text>
        <r>
          <rPr>
            <b/>
            <sz val="9"/>
            <color indexed="81"/>
            <rFont val="Tahoma"/>
            <charset val="1"/>
          </rPr>
          <t>mohammad homanloo:</t>
        </r>
        <r>
          <rPr>
            <sz val="9"/>
            <color indexed="81"/>
            <rFont val="Tahoma"/>
            <charset val="1"/>
          </rPr>
          <t xml:space="preserve">
Maximum height of liquid over weir.</t>
        </r>
      </text>
    </comment>
    <comment ref="E59" authorId="0" shapeId="0" xr:uid="{A6250E56-D3A2-4B72-81D1-ECC052103A12}">
      <text>
        <r>
          <rPr>
            <b/>
            <sz val="9"/>
            <color indexed="81"/>
            <rFont val="Tahoma"/>
            <charset val="1"/>
          </rPr>
          <t>mohammad homanloo:</t>
        </r>
        <r>
          <rPr>
            <sz val="9"/>
            <color indexed="81"/>
            <rFont val="Tahoma"/>
            <charset val="1"/>
          </rPr>
          <t xml:space="preserve">
Minimum height of liquid over weir.</t>
        </r>
      </text>
    </comment>
    <comment ref="F59" authorId="0" shapeId="0" xr:uid="{5A5520D3-6BBA-462A-9EE9-6D279D576B36}">
      <text>
        <r>
          <rPr>
            <b/>
            <sz val="9"/>
            <color indexed="81"/>
            <rFont val="Tahoma"/>
            <charset val="1"/>
          </rPr>
          <t>mohammad homanloo:</t>
        </r>
        <r>
          <rPr>
            <sz val="9"/>
            <color indexed="81"/>
            <rFont val="Tahoma"/>
            <charset val="1"/>
          </rPr>
          <t xml:space="preserve">
Considering 2 inch weir height</t>
        </r>
      </text>
    </comment>
    <comment ref="G59" authorId="0" shapeId="0" xr:uid="{57D354A7-1BF8-4A82-9374-6A255F5229FF}">
      <text>
        <r>
          <rPr>
            <b/>
            <sz val="9"/>
            <color indexed="81"/>
            <rFont val="Tahoma"/>
            <charset val="1"/>
          </rPr>
          <t>mohammad homanloo:</t>
        </r>
        <r>
          <rPr>
            <sz val="9"/>
            <color indexed="81"/>
            <rFont val="Tahoma"/>
            <charset val="1"/>
          </rPr>
          <t xml:space="preserve">
Coefficient from figure above</t>
        </r>
      </text>
    </comment>
    <comment ref="H59" authorId="0" shapeId="0" xr:uid="{AD06ED72-FBE3-4B2B-9990-1914F1154018}">
      <text>
        <r>
          <rPr>
            <b/>
            <sz val="9"/>
            <color indexed="81"/>
            <rFont val="Tahoma"/>
            <charset val="1"/>
          </rPr>
          <t>mohammad homanloo:</t>
        </r>
        <r>
          <rPr>
            <sz val="9"/>
            <color indexed="81"/>
            <rFont val="Tahoma"/>
            <charset val="1"/>
          </rPr>
          <t xml:space="preserve">
Minimum velocity at 7th tray</t>
        </r>
      </text>
    </comment>
    <comment ref="I59" authorId="0" shapeId="0" xr:uid="{39B30726-D474-4C9B-B94D-4E1CA890DA16}">
      <text>
        <r>
          <rPr>
            <b/>
            <sz val="9"/>
            <color indexed="81"/>
            <rFont val="Tahoma"/>
            <charset val="1"/>
          </rPr>
          <t>mohammad homanloo:</t>
        </r>
        <r>
          <rPr>
            <sz val="9"/>
            <color indexed="81"/>
            <rFont val="Tahoma"/>
            <charset val="1"/>
          </rPr>
          <t xml:space="preserve">
Actual minimum velocity. 2 inch weir height</t>
        </r>
      </text>
    </comment>
    <comment ref="K59" authorId="0" shapeId="0" xr:uid="{BCC1A53D-8AFC-4CC9-B997-2FFEE6592D82}">
      <text>
        <r>
          <rPr>
            <b/>
            <sz val="9"/>
            <color indexed="81"/>
            <rFont val="Tahoma"/>
            <charset val="1"/>
          </rPr>
          <t>mohammad homanloo:</t>
        </r>
        <r>
          <rPr>
            <sz val="9"/>
            <color indexed="81"/>
            <rFont val="Tahoma"/>
            <charset val="1"/>
          </rPr>
          <t xml:space="preserve">
Considering 3 inch weir height</t>
        </r>
      </text>
    </comment>
    <comment ref="L59" authorId="0" shapeId="0" xr:uid="{A3D06551-8AA6-46E1-929E-F31913E9BBD2}">
      <text>
        <r>
          <rPr>
            <b/>
            <sz val="9"/>
            <color indexed="81"/>
            <rFont val="Tahoma"/>
            <charset val="1"/>
          </rPr>
          <t>mohammad homanloo:</t>
        </r>
        <r>
          <rPr>
            <sz val="9"/>
            <color indexed="81"/>
            <rFont val="Tahoma"/>
            <charset val="1"/>
          </rPr>
          <t xml:space="preserve">
Coefficient from figure above</t>
        </r>
      </text>
    </comment>
    <comment ref="M59" authorId="0" shapeId="0" xr:uid="{5089EA90-2AB7-4339-8BCF-DD424B63E405}">
      <text>
        <r>
          <rPr>
            <b/>
            <sz val="9"/>
            <color indexed="81"/>
            <rFont val="Tahoma"/>
            <charset val="1"/>
          </rPr>
          <t>mohammad homanloo:</t>
        </r>
        <r>
          <rPr>
            <sz val="9"/>
            <color indexed="81"/>
            <rFont val="Tahoma"/>
            <charset val="1"/>
          </rPr>
          <t xml:space="preserve">
Actual minimum velocity. 3 inch weir height</t>
        </r>
      </text>
    </comment>
    <comment ref="D73" authorId="0" shapeId="0" xr:uid="{55EB0B07-19A1-4ADB-83B5-9E4B2431A54D}">
      <text>
        <r>
          <rPr>
            <b/>
            <sz val="9"/>
            <color indexed="81"/>
            <rFont val="Tahoma"/>
            <charset val="1"/>
          </rPr>
          <t>mohammad homanloo:</t>
        </r>
        <r>
          <rPr>
            <sz val="9"/>
            <color indexed="81"/>
            <rFont val="Tahoma"/>
            <charset val="1"/>
          </rPr>
          <t xml:space="preserve">
Maximum height of liquid over weir.</t>
        </r>
      </text>
    </comment>
    <comment ref="E73" authorId="0" shapeId="0" xr:uid="{E86583B3-2868-4F87-BFC2-04D6D8A49656}">
      <text>
        <r>
          <rPr>
            <b/>
            <sz val="9"/>
            <color indexed="81"/>
            <rFont val="Tahoma"/>
            <charset val="1"/>
          </rPr>
          <t>mohammad homanloo:</t>
        </r>
        <r>
          <rPr>
            <sz val="9"/>
            <color indexed="81"/>
            <rFont val="Tahoma"/>
            <charset val="1"/>
          </rPr>
          <t xml:space="preserve">
Minimum height of liquid over weir.</t>
        </r>
      </text>
    </comment>
    <comment ref="F73" authorId="0" shapeId="0" xr:uid="{77EC00D4-1D7D-4CE7-85C3-75A1DC73681E}">
      <text>
        <r>
          <rPr>
            <b/>
            <sz val="9"/>
            <color indexed="81"/>
            <rFont val="Tahoma"/>
            <charset val="1"/>
          </rPr>
          <t>mohammad homanloo:</t>
        </r>
        <r>
          <rPr>
            <sz val="9"/>
            <color indexed="81"/>
            <rFont val="Tahoma"/>
            <charset val="1"/>
          </rPr>
          <t xml:space="preserve">
Considering 2 inch weir height</t>
        </r>
      </text>
    </comment>
    <comment ref="G73" authorId="0" shapeId="0" xr:uid="{72DAA090-3F84-4850-9CA0-21A793876CCD}">
      <text>
        <r>
          <rPr>
            <b/>
            <sz val="9"/>
            <color indexed="81"/>
            <rFont val="Tahoma"/>
            <charset val="1"/>
          </rPr>
          <t>mohammad homanloo:</t>
        </r>
        <r>
          <rPr>
            <sz val="9"/>
            <color indexed="81"/>
            <rFont val="Tahoma"/>
            <charset val="1"/>
          </rPr>
          <t xml:space="preserve">
Coefficient from figure above</t>
        </r>
      </text>
    </comment>
    <comment ref="H73" authorId="0" shapeId="0" xr:uid="{503FA25C-3663-4F4C-BDA9-8F0530FFA679}">
      <text>
        <r>
          <rPr>
            <b/>
            <sz val="9"/>
            <color indexed="81"/>
            <rFont val="Tahoma"/>
            <charset val="1"/>
          </rPr>
          <t>mohammad homanloo:</t>
        </r>
        <r>
          <rPr>
            <sz val="9"/>
            <color indexed="81"/>
            <rFont val="Tahoma"/>
            <charset val="1"/>
          </rPr>
          <t xml:space="preserve">
Minimum velocity at 7th tray</t>
        </r>
      </text>
    </comment>
    <comment ref="I73" authorId="0" shapeId="0" xr:uid="{D7852D0C-3F71-4B66-8E53-1E0B0EFE755D}">
      <text>
        <r>
          <rPr>
            <b/>
            <sz val="9"/>
            <color indexed="81"/>
            <rFont val="Tahoma"/>
            <charset val="1"/>
          </rPr>
          <t>mohammad homanloo:</t>
        </r>
        <r>
          <rPr>
            <sz val="9"/>
            <color indexed="81"/>
            <rFont val="Tahoma"/>
            <charset val="1"/>
          </rPr>
          <t xml:space="preserve">
Actual minimum velocity. 2 inch weir height</t>
        </r>
      </text>
    </comment>
    <comment ref="K73" authorId="0" shapeId="0" xr:uid="{3C92ECCE-8F0B-4D5A-A6C0-52E67B63EA45}">
      <text>
        <r>
          <rPr>
            <b/>
            <sz val="9"/>
            <color indexed="81"/>
            <rFont val="Tahoma"/>
            <charset val="1"/>
          </rPr>
          <t>mohammad homanloo:</t>
        </r>
        <r>
          <rPr>
            <sz val="9"/>
            <color indexed="81"/>
            <rFont val="Tahoma"/>
            <charset val="1"/>
          </rPr>
          <t xml:space="preserve">
Considering 3 inch weir height</t>
        </r>
      </text>
    </comment>
    <comment ref="L73" authorId="0" shapeId="0" xr:uid="{2DFDBFE1-532B-4E9B-BF00-B7502239F1DC}">
      <text>
        <r>
          <rPr>
            <b/>
            <sz val="9"/>
            <color indexed="81"/>
            <rFont val="Tahoma"/>
            <charset val="1"/>
          </rPr>
          <t>mohammad homanloo:</t>
        </r>
        <r>
          <rPr>
            <sz val="9"/>
            <color indexed="81"/>
            <rFont val="Tahoma"/>
            <charset val="1"/>
          </rPr>
          <t xml:space="preserve">
Coefficient from figure above</t>
        </r>
      </text>
    </comment>
    <comment ref="M73" authorId="0" shapeId="0" xr:uid="{E64F03E8-C76C-4CBE-8DE0-644158318330}">
      <text>
        <r>
          <rPr>
            <b/>
            <sz val="9"/>
            <color indexed="81"/>
            <rFont val="Tahoma"/>
            <charset val="1"/>
          </rPr>
          <t>mohammad homanloo:</t>
        </r>
        <r>
          <rPr>
            <sz val="9"/>
            <color indexed="81"/>
            <rFont val="Tahoma"/>
            <charset val="1"/>
          </rPr>
          <t xml:space="preserve">
Actual minimum velocity. 3 inch weir height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mohammad homanloo</author>
  </authors>
  <commentList>
    <comment ref="E4" authorId="0" shapeId="0" xr:uid="{969D028C-0FE9-48A7-B489-B0C5A420BE29}">
      <text>
        <r>
          <rPr>
            <b/>
            <sz val="9"/>
            <color indexed="81"/>
            <rFont val="Tahoma"/>
            <family val="2"/>
          </rPr>
          <t>mohammad homanloo:</t>
        </r>
        <r>
          <rPr>
            <sz val="9"/>
            <color indexed="81"/>
            <rFont val="Tahoma"/>
            <family val="2"/>
          </rPr>
          <t xml:space="preserve">
Maximum velocity throw downcomer</t>
        </r>
      </text>
    </comment>
    <comment ref="F4" authorId="0" shapeId="0" xr:uid="{E2ED94A7-7DD9-412E-9B01-1D88EBD1A0BF}">
      <text>
        <r>
          <rPr>
            <b/>
            <sz val="9"/>
            <color indexed="81"/>
            <rFont val="Tahoma"/>
            <family val="2"/>
          </rPr>
          <t>mohammad homanloo:</t>
        </r>
        <r>
          <rPr>
            <sz val="9"/>
            <color indexed="81"/>
            <rFont val="Tahoma"/>
            <family val="2"/>
          </rPr>
          <t xml:space="preserve">
Plate Thickness / Hole Diameter is equal to 0.4
</t>
        </r>
      </text>
    </comment>
    <comment ref="G4" authorId="0" shapeId="0" xr:uid="{3C1EDD5B-CE1A-41D8-AF30-F007915DEA5E}">
      <text>
        <r>
          <rPr>
            <b/>
            <sz val="9"/>
            <color indexed="81"/>
            <rFont val="Tahoma"/>
            <family val="2"/>
          </rPr>
          <t>mohammad homanloo:</t>
        </r>
        <r>
          <rPr>
            <sz val="9"/>
            <color indexed="81"/>
            <rFont val="Tahoma"/>
            <family val="2"/>
          </rPr>
          <t xml:space="preserve">
Dry plate pressure drop</t>
        </r>
      </text>
    </comment>
    <comment ref="H4" authorId="0" shapeId="0" xr:uid="{F0B9220F-BB9B-4CAB-A2F9-2BF2F2C7E354}">
      <text>
        <r>
          <rPr>
            <b/>
            <sz val="9"/>
            <color indexed="81"/>
            <rFont val="Tahoma"/>
            <family val="2"/>
          </rPr>
          <t>mohammad homanloo:</t>
        </r>
        <r>
          <rPr>
            <sz val="9"/>
            <color indexed="81"/>
            <rFont val="Tahoma"/>
            <family val="2"/>
          </rPr>
          <t xml:space="preserve">
Residual head</t>
        </r>
      </text>
    </comment>
    <comment ref="I4" authorId="0" shapeId="0" xr:uid="{7FF32083-6E03-4A9D-912F-45A5D33D8B6B}">
      <text>
        <r>
          <rPr>
            <b/>
            <sz val="9"/>
            <color indexed="81"/>
            <rFont val="Tahoma"/>
            <family val="2"/>
          </rPr>
          <t>mohammad homanloo:</t>
        </r>
        <r>
          <rPr>
            <sz val="9"/>
            <color indexed="81"/>
            <rFont val="Tahoma"/>
            <family val="2"/>
          </rPr>
          <t xml:space="preserve">
Total plate drop for a 2 inch weir height</t>
        </r>
      </text>
    </comment>
    <comment ref="J4" authorId="0" shapeId="0" xr:uid="{321F1838-B531-488A-BB8E-49E2F2569FDD}">
      <text>
        <r>
          <rPr>
            <b/>
            <sz val="9"/>
            <color indexed="81"/>
            <rFont val="Tahoma"/>
            <family val="2"/>
          </rPr>
          <t>mohammad homanloo:</t>
        </r>
        <r>
          <rPr>
            <sz val="9"/>
            <color indexed="81"/>
            <rFont val="Tahoma"/>
            <family val="2"/>
          </rPr>
          <t xml:space="preserve">
Total plate drop for a 3 inch weir height</t>
        </r>
      </text>
    </comment>
    <comment ref="K4" authorId="0" shapeId="0" xr:uid="{76DF2960-A1B1-43AD-BE8C-B5DEF76269AD}">
      <text>
        <r>
          <rPr>
            <b/>
            <sz val="9"/>
            <color indexed="81"/>
            <rFont val="Tahoma"/>
            <family val="2"/>
          </rPr>
          <t>mohammad homanloo:</t>
        </r>
        <r>
          <rPr>
            <sz val="9"/>
            <color indexed="81"/>
            <rFont val="Tahoma"/>
            <family val="2"/>
          </rPr>
          <t xml:space="preserve">
Total pressure drop in plate</t>
        </r>
      </text>
    </comment>
    <comment ref="L4" authorId="0" shapeId="0" xr:uid="{6C7C0C9A-8C24-4933-AE38-D5A38383472C}">
      <text>
        <r>
          <rPr>
            <b/>
            <sz val="9"/>
            <color indexed="81"/>
            <rFont val="Tahoma"/>
            <family val="2"/>
          </rPr>
          <t>mohammad homanloo:</t>
        </r>
        <r>
          <rPr>
            <sz val="9"/>
            <color indexed="81"/>
            <rFont val="Tahoma"/>
            <family val="2"/>
          </rPr>
          <t xml:space="preserve">
Total pressure drop in plate</t>
        </r>
      </text>
    </comment>
    <comment ref="E26" authorId="0" shapeId="0" xr:uid="{271ECEEB-72D3-451E-87C6-07E8062060A5}">
      <text>
        <r>
          <rPr>
            <b/>
            <sz val="9"/>
            <color indexed="81"/>
            <rFont val="Tahoma"/>
            <family val="2"/>
          </rPr>
          <t>mohammad homanloo:</t>
        </r>
        <r>
          <rPr>
            <sz val="9"/>
            <color indexed="81"/>
            <rFont val="Tahoma"/>
            <family val="2"/>
          </rPr>
          <t xml:space="preserve">
Maximum velocity throw downcomer</t>
        </r>
      </text>
    </comment>
    <comment ref="F26" authorId="0" shapeId="0" xr:uid="{6E8EEA71-3DE5-47A1-BC0D-AC9F578B8E57}">
      <text>
        <r>
          <rPr>
            <b/>
            <sz val="9"/>
            <color indexed="81"/>
            <rFont val="Tahoma"/>
            <family val="2"/>
          </rPr>
          <t>mohammad homanloo:</t>
        </r>
        <r>
          <rPr>
            <sz val="9"/>
            <color indexed="81"/>
            <rFont val="Tahoma"/>
            <family val="2"/>
          </rPr>
          <t xml:space="preserve">
Plate Thickness / Hole Diameter is equal to 0.4
</t>
        </r>
      </text>
    </comment>
    <comment ref="G26" authorId="0" shapeId="0" xr:uid="{20F4BEE7-CAE7-47DF-B989-AB7BC53970E1}">
      <text>
        <r>
          <rPr>
            <b/>
            <sz val="9"/>
            <color indexed="81"/>
            <rFont val="Tahoma"/>
            <family val="2"/>
          </rPr>
          <t>mohammad homanloo:</t>
        </r>
        <r>
          <rPr>
            <sz val="9"/>
            <color indexed="81"/>
            <rFont val="Tahoma"/>
            <family val="2"/>
          </rPr>
          <t xml:space="preserve">
Dry plate pressure drop</t>
        </r>
      </text>
    </comment>
    <comment ref="H26" authorId="0" shapeId="0" xr:uid="{49E39B8B-FA61-4FC4-8F76-FD7A150B1A9E}">
      <text>
        <r>
          <rPr>
            <b/>
            <sz val="9"/>
            <color indexed="81"/>
            <rFont val="Tahoma"/>
            <family val="2"/>
          </rPr>
          <t>mohammad homanloo:</t>
        </r>
        <r>
          <rPr>
            <sz val="9"/>
            <color indexed="81"/>
            <rFont val="Tahoma"/>
            <family val="2"/>
          </rPr>
          <t xml:space="preserve">
Residual head</t>
        </r>
      </text>
    </comment>
    <comment ref="I26" authorId="0" shapeId="0" xr:uid="{31379866-86F2-4D38-9633-6D5443E5E16C}">
      <text>
        <r>
          <rPr>
            <b/>
            <sz val="9"/>
            <color indexed="81"/>
            <rFont val="Tahoma"/>
            <family val="2"/>
          </rPr>
          <t>mohammad homanloo:</t>
        </r>
        <r>
          <rPr>
            <sz val="9"/>
            <color indexed="81"/>
            <rFont val="Tahoma"/>
            <family val="2"/>
          </rPr>
          <t xml:space="preserve">
Total plate drop for a 2 inch weir height</t>
        </r>
      </text>
    </comment>
    <comment ref="J26" authorId="0" shapeId="0" xr:uid="{9707D036-0D51-496A-B4CA-3789F45F9114}">
      <text>
        <r>
          <rPr>
            <b/>
            <sz val="9"/>
            <color indexed="81"/>
            <rFont val="Tahoma"/>
            <family val="2"/>
          </rPr>
          <t>mohammad homanloo:</t>
        </r>
        <r>
          <rPr>
            <sz val="9"/>
            <color indexed="81"/>
            <rFont val="Tahoma"/>
            <family val="2"/>
          </rPr>
          <t xml:space="preserve">
Total plate drop for a 3 inch weir height</t>
        </r>
      </text>
    </comment>
    <comment ref="K26" authorId="0" shapeId="0" xr:uid="{2362D2B9-A8BA-4E62-9F63-71376ED6D191}">
      <text>
        <r>
          <rPr>
            <b/>
            <sz val="9"/>
            <color indexed="81"/>
            <rFont val="Tahoma"/>
            <family val="2"/>
          </rPr>
          <t>mohammad homanloo:</t>
        </r>
        <r>
          <rPr>
            <sz val="9"/>
            <color indexed="81"/>
            <rFont val="Tahoma"/>
            <family val="2"/>
          </rPr>
          <t xml:space="preserve">
Total pressure drop in plate</t>
        </r>
      </text>
    </comment>
    <comment ref="L26" authorId="0" shapeId="0" xr:uid="{DD92CF8C-536F-4C13-971C-7F2CE0407367}">
      <text>
        <r>
          <rPr>
            <b/>
            <sz val="9"/>
            <color indexed="81"/>
            <rFont val="Tahoma"/>
            <family val="2"/>
          </rPr>
          <t>mohammad homanloo:</t>
        </r>
        <r>
          <rPr>
            <sz val="9"/>
            <color indexed="81"/>
            <rFont val="Tahoma"/>
            <family val="2"/>
          </rPr>
          <t xml:space="preserve">
Total pressure drop in plate</t>
        </r>
      </text>
    </comment>
    <comment ref="D48" authorId="0" shapeId="0" xr:uid="{6FC92490-A077-4CFA-A937-4D2990BB644B}">
      <text>
        <r>
          <rPr>
            <b/>
            <sz val="9"/>
            <color indexed="81"/>
            <rFont val="Tahoma"/>
            <family val="2"/>
          </rPr>
          <t>mohammad homanloo:</t>
        </r>
        <r>
          <rPr>
            <sz val="9"/>
            <color indexed="81"/>
            <rFont val="Tahoma"/>
            <family val="2"/>
          </rPr>
          <t xml:space="preserve">
Height of the bottom edge of the apron above the plate.
Considered 10 mm.</t>
        </r>
      </text>
    </comment>
    <comment ref="E48" authorId="0" shapeId="0" xr:uid="{71455C7F-B2A1-4335-B296-E5E2C06CEA15}">
      <text>
        <r>
          <rPr>
            <b/>
            <sz val="9"/>
            <color indexed="81"/>
            <rFont val="Tahoma"/>
            <family val="2"/>
          </rPr>
          <t>mohammad homanloo:</t>
        </r>
        <r>
          <rPr>
            <sz val="9"/>
            <color indexed="81"/>
            <rFont val="Tahoma"/>
            <family val="2"/>
          </rPr>
          <t xml:space="preserve">
Clearance area under the downcomer</t>
        </r>
      </text>
    </comment>
    <comment ref="F48" authorId="0" shapeId="0" xr:uid="{0EC52F4A-728E-4513-A21D-87621AF57A46}">
      <text>
        <r>
          <rPr>
            <b/>
            <sz val="9"/>
            <color indexed="81"/>
            <rFont val="Tahoma"/>
            <family val="2"/>
          </rPr>
          <t>mohammad homanloo:</t>
        </r>
        <r>
          <rPr>
            <sz val="9"/>
            <color indexed="81"/>
            <rFont val="Tahoma"/>
            <family val="2"/>
          </rPr>
          <t xml:space="preserve">
Downcomer Area
</t>
        </r>
      </text>
    </comment>
    <comment ref="G48" authorId="0" shapeId="0" xr:uid="{1439715B-D090-4016-974F-2155101CB6FA}">
      <text>
        <r>
          <rPr>
            <b/>
            <sz val="9"/>
            <color indexed="81"/>
            <rFont val="Tahoma"/>
            <family val="2"/>
          </rPr>
          <t>mohammad homanloo:</t>
        </r>
        <r>
          <rPr>
            <sz val="9"/>
            <color indexed="81"/>
            <rFont val="Tahoma"/>
            <family val="2"/>
          </rPr>
          <t xml:space="preserve">
Head loss in downcomer</t>
        </r>
      </text>
    </comment>
    <comment ref="H48" authorId="0" shapeId="0" xr:uid="{82E2A6A0-CCFA-42ED-8B62-5AC068FDF13D}">
      <text>
        <r>
          <rPr>
            <b/>
            <sz val="9"/>
            <color indexed="81"/>
            <rFont val="Tahoma"/>
            <family val="2"/>
          </rPr>
          <t>mohammad homanloo:</t>
        </r>
        <r>
          <rPr>
            <sz val="9"/>
            <color indexed="81"/>
            <rFont val="Tahoma"/>
            <family val="2"/>
          </rPr>
          <t xml:space="preserve">
Downcomer backup height</t>
        </r>
      </text>
    </comment>
    <comment ref="I48" authorId="0" shapeId="0" xr:uid="{3E260133-C1DD-4BD1-BE66-60A4F92B66DF}">
      <text>
        <r>
          <rPr>
            <b/>
            <sz val="9"/>
            <color indexed="81"/>
            <rFont val="Tahoma"/>
            <family val="2"/>
          </rPr>
          <t>mohammad homanloo:</t>
        </r>
        <r>
          <rPr>
            <sz val="9"/>
            <color indexed="81"/>
            <rFont val="Tahoma"/>
            <family val="2"/>
          </rPr>
          <t xml:space="preserve">
Downcomer backup height</t>
        </r>
      </text>
    </comment>
    <comment ref="J48" authorId="0" shapeId="0" xr:uid="{ACC52ABD-0EDA-47F0-9668-79E5BB559E7A}">
      <text>
        <r>
          <rPr>
            <b/>
            <sz val="9"/>
            <color indexed="81"/>
            <rFont val="Tahoma"/>
            <family val="2"/>
          </rPr>
          <t>mohammad homanloo:</t>
        </r>
        <r>
          <rPr>
            <sz val="9"/>
            <color indexed="81"/>
            <rFont val="Tahoma"/>
            <family val="2"/>
          </rPr>
          <t xml:space="preserve">
24 inch tray spacing. Lower spacings result into unacceptable results</t>
        </r>
      </text>
    </comment>
    <comment ref="K48" authorId="0" shapeId="0" xr:uid="{39623CFA-A47F-4EF6-81A2-1C89E6160E06}">
      <text>
        <r>
          <rPr>
            <b/>
            <sz val="9"/>
            <color indexed="81"/>
            <rFont val="Tahoma"/>
            <family val="2"/>
          </rPr>
          <t>mohammad homanloo:</t>
        </r>
        <r>
          <rPr>
            <sz val="9"/>
            <color indexed="81"/>
            <rFont val="Tahoma"/>
            <family val="2"/>
          </rPr>
          <t xml:space="preserve">
Downcomer residence time</t>
        </r>
      </text>
    </comment>
    <comment ref="L48" authorId="0" shapeId="0" xr:uid="{BD2990FD-85A5-429A-B7C4-68D356DE2BD6}">
      <text>
        <r>
          <rPr>
            <b/>
            <sz val="9"/>
            <color indexed="81"/>
            <rFont val="Tahoma"/>
            <family val="2"/>
          </rPr>
          <t>mohammad homanloo:</t>
        </r>
        <r>
          <rPr>
            <sz val="9"/>
            <color indexed="81"/>
            <rFont val="Tahoma"/>
            <family val="2"/>
          </rPr>
          <t xml:space="preserve">
Downcomer residence time</t>
        </r>
      </text>
    </comment>
    <comment ref="D56" authorId="0" shapeId="0" xr:uid="{877A1212-3494-418F-8DEF-C1402CD4063C}">
      <text>
        <r>
          <rPr>
            <b/>
            <sz val="9"/>
            <color indexed="81"/>
            <rFont val="Tahoma"/>
            <family val="2"/>
          </rPr>
          <t>mohammad homanloo:</t>
        </r>
        <r>
          <rPr>
            <sz val="9"/>
            <color indexed="81"/>
            <rFont val="Tahoma"/>
            <family val="2"/>
          </rPr>
          <t xml:space="preserve">
Height of the bottom edge of the apron above the plate.
Considered 10 mm.</t>
        </r>
      </text>
    </comment>
    <comment ref="E56" authorId="0" shapeId="0" xr:uid="{3263916F-72B5-4EF8-8A97-C8097947DB3A}">
      <text>
        <r>
          <rPr>
            <b/>
            <sz val="9"/>
            <color indexed="81"/>
            <rFont val="Tahoma"/>
            <family val="2"/>
          </rPr>
          <t>mohammad homanloo:</t>
        </r>
        <r>
          <rPr>
            <sz val="9"/>
            <color indexed="81"/>
            <rFont val="Tahoma"/>
            <family val="2"/>
          </rPr>
          <t xml:space="preserve">
Clearance area under the downcomer</t>
        </r>
      </text>
    </comment>
    <comment ref="F56" authorId="0" shapeId="0" xr:uid="{AE069B5E-B979-4580-B531-05115CB0F7F5}">
      <text>
        <r>
          <rPr>
            <b/>
            <sz val="9"/>
            <color indexed="81"/>
            <rFont val="Tahoma"/>
            <family val="2"/>
          </rPr>
          <t>mohammad homanloo:</t>
        </r>
        <r>
          <rPr>
            <sz val="9"/>
            <color indexed="81"/>
            <rFont val="Tahoma"/>
            <family val="2"/>
          </rPr>
          <t xml:space="preserve">
Downcomer Area
</t>
        </r>
      </text>
    </comment>
    <comment ref="G56" authorId="0" shapeId="0" xr:uid="{661B2B0C-89D0-41C6-96D4-484ED88DD575}">
      <text>
        <r>
          <rPr>
            <b/>
            <sz val="9"/>
            <color indexed="81"/>
            <rFont val="Tahoma"/>
            <family val="2"/>
          </rPr>
          <t>mohammad homanloo:</t>
        </r>
        <r>
          <rPr>
            <sz val="9"/>
            <color indexed="81"/>
            <rFont val="Tahoma"/>
            <family val="2"/>
          </rPr>
          <t xml:space="preserve">
Head loss in downcomer</t>
        </r>
      </text>
    </comment>
    <comment ref="H56" authorId="0" shapeId="0" xr:uid="{209832CA-A456-43B0-9CD7-4D82A63E05BF}">
      <text>
        <r>
          <rPr>
            <b/>
            <sz val="9"/>
            <color indexed="81"/>
            <rFont val="Tahoma"/>
            <family val="2"/>
          </rPr>
          <t>mohammad homanloo:</t>
        </r>
        <r>
          <rPr>
            <sz val="9"/>
            <color indexed="81"/>
            <rFont val="Tahoma"/>
            <family val="2"/>
          </rPr>
          <t xml:space="preserve">
Downcomer backup height</t>
        </r>
      </text>
    </comment>
    <comment ref="I56" authorId="0" shapeId="0" xr:uid="{C2045E40-EB36-429D-94A0-25A8FCB37248}">
      <text>
        <r>
          <rPr>
            <b/>
            <sz val="9"/>
            <color indexed="81"/>
            <rFont val="Tahoma"/>
            <family val="2"/>
          </rPr>
          <t>mohammad homanloo:</t>
        </r>
        <r>
          <rPr>
            <sz val="9"/>
            <color indexed="81"/>
            <rFont val="Tahoma"/>
            <family val="2"/>
          </rPr>
          <t xml:space="preserve">
Downcomer backup height</t>
        </r>
      </text>
    </comment>
    <comment ref="J56" authorId="0" shapeId="0" xr:uid="{890C7577-9916-4D24-869D-5C0616CB8F7F}">
      <text>
        <r>
          <rPr>
            <b/>
            <sz val="9"/>
            <color indexed="81"/>
            <rFont val="Tahoma"/>
            <family val="2"/>
          </rPr>
          <t>mohammad homanloo:</t>
        </r>
        <r>
          <rPr>
            <sz val="9"/>
            <color indexed="81"/>
            <rFont val="Tahoma"/>
            <family val="2"/>
          </rPr>
          <t xml:space="preserve">
24 inch tray spacing. Lower spacings result into unacceptable results</t>
        </r>
      </text>
    </comment>
    <comment ref="K56" authorId="0" shapeId="0" xr:uid="{CAB89C0E-0349-4C0D-AF64-132550690DEB}">
      <text>
        <r>
          <rPr>
            <b/>
            <sz val="9"/>
            <color indexed="81"/>
            <rFont val="Tahoma"/>
            <family val="2"/>
          </rPr>
          <t>mohammad homanloo:</t>
        </r>
        <r>
          <rPr>
            <sz val="9"/>
            <color indexed="81"/>
            <rFont val="Tahoma"/>
            <family val="2"/>
          </rPr>
          <t xml:space="preserve">
Downcomer residence time</t>
        </r>
      </text>
    </comment>
    <comment ref="L56" authorId="0" shapeId="0" xr:uid="{10739F8C-23D4-48F0-A696-73326A417691}">
      <text>
        <r>
          <rPr>
            <b/>
            <sz val="9"/>
            <color indexed="81"/>
            <rFont val="Tahoma"/>
            <family val="2"/>
          </rPr>
          <t>mohammad homanloo:</t>
        </r>
        <r>
          <rPr>
            <sz val="9"/>
            <color indexed="81"/>
            <rFont val="Tahoma"/>
            <family val="2"/>
          </rPr>
          <t xml:space="preserve">
Downcomer residence time</t>
        </r>
      </text>
    </comment>
    <comment ref="D64" authorId="0" shapeId="0" xr:uid="{7319C9DD-A211-4660-AABA-9B609E2F3A88}">
      <text>
        <r>
          <rPr>
            <b/>
            <sz val="9"/>
            <color indexed="81"/>
            <rFont val="Tahoma"/>
            <family val="2"/>
          </rPr>
          <t>mohammad homanloo:</t>
        </r>
        <r>
          <rPr>
            <sz val="9"/>
            <color indexed="81"/>
            <rFont val="Tahoma"/>
            <family val="2"/>
          </rPr>
          <t xml:space="preserve">
Flooding percent is below the initial flooding value of 75% so it is acceptable</t>
        </r>
      </text>
    </comment>
    <comment ref="F64" authorId="0" shapeId="0" xr:uid="{67296DDE-E073-4D4D-87AD-DF0BFFEC6785}">
      <text>
        <r>
          <rPr>
            <b/>
            <sz val="9"/>
            <color indexed="81"/>
            <rFont val="Tahoma"/>
            <family val="2"/>
          </rPr>
          <t>mohammad homanloo:</t>
        </r>
        <r>
          <rPr>
            <sz val="9"/>
            <color indexed="81"/>
            <rFont val="Tahoma"/>
            <family val="2"/>
          </rPr>
          <t xml:space="preserve">
The value is well below 0.1 so it is acceptable.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mohammad homanloo</author>
  </authors>
  <commentList>
    <comment ref="C6" authorId="0" shapeId="0" xr:uid="{CC9A0BE3-F75B-4942-AE38-57D77DA2DE9F}">
      <text>
        <r>
          <rPr>
            <b/>
            <sz val="9"/>
            <color indexed="81"/>
            <rFont val="Tahoma"/>
            <family val="2"/>
          </rPr>
          <t>mohammad homanloo:</t>
        </r>
        <r>
          <rPr>
            <sz val="9"/>
            <color indexed="81"/>
            <rFont val="Tahoma"/>
            <family val="2"/>
          </rPr>
          <t xml:space="preserve">
36 inch</t>
        </r>
      </text>
    </comment>
    <comment ref="D6" authorId="0" shapeId="0" xr:uid="{BEEE380E-3FE3-42D8-9B35-D81DDCC82D5F}">
      <text>
        <r>
          <rPr>
            <b/>
            <sz val="9"/>
            <color indexed="81"/>
            <rFont val="Tahoma"/>
            <family val="2"/>
          </rPr>
          <t>mohammad homanloo:</t>
        </r>
        <r>
          <rPr>
            <sz val="9"/>
            <color indexed="81"/>
            <rFont val="Tahoma"/>
            <family val="2"/>
          </rPr>
          <t xml:space="preserve">
24 inch</t>
        </r>
      </text>
    </comment>
    <comment ref="G6" authorId="0" shapeId="0" xr:uid="{2C97AB58-64E0-4B06-BC3C-0A6F4CA4A5DA}">
      <text>
        <r>
          <rPr>
            <b/>
            <sz val="9"/>
            <color indexed="81"/>
            <rFont val="Tahoma"/>
            <family val="2"/>
          </rPr>
          <t>mohammad homanloo:</t>
        </r>
        <r>
          <rPr>
            <sz val="9"/>
            <color indexed="81"/>
            <rFont val="Tahoma"/>
            <family val="2"/>
          </rPr>
          <t xml:space="preserve">
2 inch</t>
        </r>
      </text>
    </comment>
    <comment ref="M6" authorId="0" shapeId="0" xr:uid="{EB19F121-4D9E-4E70-AE27-D3A7DF26462C}">
      <text>
        <r>
          <rPr>
            <b/>
            <sz val="9"/>
            <color indexed="81"/>
            <rFont val="Tahoma"/>
            <family val="2"/>
          </rPr>
          <t>mohammad homanloo:</t>
        </r>
        <r>
          <rPr>
            <sz val="9"/>
            <color indexed="81"/>
            <rFont val="Tahoma"/>
            <family val="2"/>
          </rPr>
          <t xml:space="preserve">
1/2 inch</t>
        </r>
      </text>
    </comment>
    <comment ref="B22" authorId="0" shapeId="0" xr:uid="{B7EBE456-F896-48F8-9F2D-098BB4C6F2FB}">
      <text>
        <r>
          <rPr>
            <b/>
            <sz val="9"/>
            <color indexed="81"/>
            <rFont val="Tahoma"/>
            <family val="2"/>
          </rPr>
          <t>mohammad homanloo:</t>
        </r>
        <r>
          <rPr>
            <sz val="9"/>
            <color indexed="81"/>
            <rFont val="Tahoma"/>
            <family val="2"/>
          </rPr>
          <t xml:space="preserve">
Between 2.5 and 3 is acceptable.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mohammad homanloo</author>
  </authors>
  <commentList>
    <comment ref="B9" authorId="0" shapeId="0" xr:uid="{B587F256-ADF3-48B7-AF79-A894764E5877}">
      <text>
        <r>
          <rPr>
            <b/>
            <sz val="9"/>
            <color indexed="81"/>
            <rFont val="Tahoma"/>
            <family val="2"/>
          </rPr>
          <t>mohammad homanloo:</t>
        </r>
        <r>
          <rPr>
            <sz val="9"/>
            <color indexed="81"/>
            <rFont val="Tahoma"/>
            <family val="2"/>
          </rPr>
          <t xml:space="preserve">
ASME Section VIII D.1 states that wall thickness of pressure vessels should not be lower than 1/16 inch, no matter the value of corrosion allowance, matterial, etc.
Value obtaind here satisfies the state above. However by considering windy environment and other factors and rounding up the number, a 3 mm wall thickness will be considered in further calculation</t>
        </r>
      </text>
    </comment>
    <comment ref="B14" authorId="0" shapeId="0" xr:uid="{5F9F971B-8027-4497-8874-F462CB6763DF}">
      <text>
        <r>
          <rPr>
            <b/>
            <sz val="9"/>
            <color indexed="81"/>
            <rFont val="Tahoma"/>
            <family val="2"/>
          </rPr>
          <t>mohammad homanloo:</t>
        </r>
        <r>
          <rPr>
            <sz val="9"/>
            <color indexed="81"/>
            <rFont val="Tahoma"/>
            <family val="2"/>
          </rPr>
          <t xml:space="preserve">
Calculations done here to estimate the sizing for column shell design.</t>
        </r>
      </text>
    </comment>
    <comment ref="B19" authorId="0" shapeId="0" xr:uid="{CE8A8055-952F-48DF-9C53-1441C7BD279D}">
      <text>
        <r>
          <rPr>
            <b/>
            <sz val="9"/>
            <color indexed="81"/>
            <rFont val="Tahoma"/>
            <family val="2"/>
          </rPr>
          <t>mohammad homanloo:</t>
        </r>
        <r>
          <rPr>
            <sz val="9"/>
            <color indexed="81"/>
            <rFont val="Tahoma"/>
            <family val="2"/>
          </rPr>
          <t xml:space="preserve">
Values should be relatively low so the flow wouldn't damage the internals.</t>
        </r>
      </text>
    </comment>
    <comment ref="B23" authorId="0" shapeId="0" xr:uid="{62CC7AA1-94A0-4EA6-978F-5206D3620A70}">
      <text>
        <r>
          <rPr>
            <b/>
            <sz val="9"/>
            <color indexed="81"/>
            <rFont val="Tahoma"/>
            <family val="2"/>
          </rPr>
          <t>mohammad homanloo:</t>
        </r>
        <r>
          <rPr>
            <sz val="9"/>
            <color indexed="81"/>
            <rFont val="Tahoma"/>
            <family val="2"/>
          </rPr>
          <t xml:space="preserve">
Values near 25 fps are mostly used in industries
</t>
        </r>
      </text>
    </comment>
    <comment ref="B32" authorId="0" shapeId="0" xr:uid="{CC03235F-0330-4065-9B70-673433C151BD}">
      <text>
        <r>
          <rPr>
            <b/>
            <sz val="9"/>
            <color indexed="81"/>
            <rFont val="Tahoma"/>
            <family val="2"/>
          </rPr>
          <t>mohammad homanloo:</t>
        </r>
        <r>
          <rPr>
            <sz val="9"/>
            <color indexed="81"/>
            <rFont val="Tahoma"/>
            <family val="2"/>
          </rPr>
          <t xml:space="preserve">
As mentioned above, this will be the new thickness</t>
        </r>
      </text>
    </comment>
    <comment ref="B39" authorId="0" shapeId="0" xr:uid="{BE2BAC4F-1ED8-4A60-B3AE-CE7BD5F603ED}">
      <text>
        <r>
          <rPr>
            <b/>
            <sz val="9"/>
            <color indexed="81"/>
            <rFont val="Tahoma"/>
            <family val="2"/>
          </rPr>
          <t>mohammad homanloo:</t>
        </r>
        <r>
          <rPr>
            <sz val="9"/>
            <color indexed="81"/>
            <rFont val="Tahoma"/>
            <family val="2"/>
          </rPr>
          <t xml:space="preserve">
Typical value for steel based plates
</t>
        </r>
      </text>
    </comment>
    <comment ref="B42" authorId="0" shapeId="0" xr:uid="{F2833624-1E14-40EF-86EE-0303ACA18681}">
      <text>
        <r>
          <rPr>
            <b/>
            <sz val="9"/>
            <color indexed="81"/>
            <rFont val="Tahoma"/>
            <family val="2"/>
          </rPr>
          <t>mohammad homanloo:</t>
        </r>
        <r>
          <rPr>
            <sz val="9"/>
            <color indexed="81"/>
            <rFont val="Tahoma"/>
            <family val="2"/>
          </rPr>
          <t xml:space="preserve">
For simplification, first cosidered it as a flat plate and the added 20% of the value obtained to the initial value.</t>
        </r>
      </text>
    </comment>
    <comment ref="B47" authorId="0" shapeId="0" xr:uid="{C66DA942-76D1-4C34-A224-3F04DA96708E}">
      <text>
        <r>
          <rPr>
            <b/>
            <sz val="9"/>
            <color indexed="81"/>
            <rFont val="Tahoma"/>
            <family val="2"/>
          </rPr>
          <t>mohammad homanloo:</t>
        </r>
        <r>
          <rPr>
            <sz val="9"/>
            <color indexed="81"/>
            <rFont val="Tahoma"/>
            <family val="2"/>
          </rPr>
          <t xml:space="preserve">
15% of sum of the weight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mohammad homanloo</author>
  </authors>
  <commentList>
    <comment ref="C13" authorId="0" shapeId="0" xr:uid="{163DAB31-4D56-49D5-B4FE-AADE99F37AAB}">
      <text>
        <r>
          <rPr>
            <b/>
            <sz val="9"/>
            <color indexed="81"/>
            <rFont val="Tahoma"/>
            <family val="2"/>
          </rPr>
          <t>mohammad homanloo:</t>
        </r>
        <r>
          <rPr>
            <sz val="9"/>
            <color indexed="81"/>
            <rFont val="Tahoma"/>
            <family val="2"/>
          </rPr>
          <t xml:space="preserve">
Chemical Engineering Cost Index</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mohammad homanloo</author>
  </authors>
  <commentList>
    <comment ref="B28" authorId="0" shapeId="0" xr:uid="{02D57806-B2C5-4CD5-AF51-A4F7DB899EE9}">
      <text>
        <r>
          <rPr>
            <b/>
            <sz val="9"/>
            <color indexed="81"/>
            <rFont val="Tahoma"/>
            <family val="2"/>
          </rPr>
          <t>mohammad homanloo:</t>
        </r>
        <r>
          <rPr>
            <sz val="9"/>
            <color indexed="81"/>
            <rFont val="Tahoma"/>
            <family val="2"/>
          </rPr>
          <t xml:space="preserve">
Calculations done here to estimate the sizing for column shell design.</t>
        </r>
      </text>
    </comment>
    <comment ref="B33" authorId="0" shapeId="0" xr:uid="{FC67ADCA-E466-45B3-AC94-83372448A21B}">
      <text>
        <r>
          <rPr>
            <b/>
            <sz val="9"/>
            <color indexed="81"/>
            <rFont val="Tahoma"/>
            <family val="2"/>
          </rPr>
          <t>mohammad homanloo:</t>
        </r>
        <r>
          <rPr>
            <sz val="9"/>
            <color indexed="81"/>
            <rFont val="Tahoma"/>
            <family val="2"/>
          </rPr>
          <t xml:space="preserve">
Values should be relatively low so the flow wouldn't damage the internals.</t>
        </r>
      </text>
    </comment>
    <comment ref="B37" authorId="0" shapeId="0" xr:uid="{303B804E-695A-4B35-B437-F2CB7FBEDF1E}">
      <text>
        <r>
          <rPr>
            <b/>
            <sz val="9"/>
            <color indexed="81"/>
            <rFont val="Tahoma"/>
            <family val="2"/>
          </rPr>
          <t>mohammad homanloo:</t>
        </r>
        <r>
          <rPr>
            <sz val="9"/>
            <color indexed="81"/>
            <rFont val="Tahoma"/>
            <family val="2"/>
          </rPr>
          <t xml:space="preserve">
Values near 25 fps are mostly used in industries
</t>
        </r>
      </text>
    </comment>
  </commentList>
</comments>
</file>

<file path=xl/sharedStrings.xml><?xml version="1.0" encoding="utf-8"?>
<sst xmlns="http://schemas.openxmlformats.org/spreadsheetml/2006/main" count="658" uniqueCount="363">
  <si>
    <t>Parameter</t>
  </si>
  <si>
    <t># Actual Tray</t>
  </si>
  <si>
    <t>Liquid</t>
  </si>
  <si>
    <t>Vapor</t>
  </si>
  <si>
    <t>Flow Rate</t>
  </si>
  <si>
    <t>EtOH</t>
  </si>
  <si>
    <t>mole%</t>
  </si>
  <si>
    <t>Condenser</t>
  </si>
  <si>
    <t>Reboiler</t>
  </si>
  <si>
    <t>Mole Frac</t>
  </si>
  <si>
    <t>Product</t>
  </si>
  <si>
    <t>Pressure</t>
  </si>
  <si>
    <t>Tempreture</t>
  </si>
  <si>
    <t>Feed</t>
  </si>
  <si>
    <t>__</t>
  </si>
  <si>
    <t>C</t>
  </si>
  <si>
    <t>kPa</t>
  </si>
  <si>
    <t>kgmole/hr</t>
  </si>
  <si>
    <t>Surface Tension</t>
  </si>
  <si>
    <t>MW</t>
  </si>
  <si>
    <t>Density</t>
  </si>
  <si>
    <t>Viscosity</t>
  </si>
  <si>
    <t>Thermal Cond.</t>
  </si>
  <si>
    <t>Enthalpy</t>
  </si>
  <si>
    <t>dyne/cm</t>
  </si>
  <si>
    <t>kg/mole</t>
  </si>
  <si>
    <t>kg/m^3</t>
  </si>
  <si>
    <t>cP</t>
  </si>
  <si>
    <t>W/mK</t>
  </si>
  <si>
    <t>kJ/hr</t>
  </si>
  <si>
    <t>Value</t>
  </si>
  <si>
    <t>Unit</t>
  </si>
  <si>
    <t>Description</t>
  </si>
  <si>
    <t>T_in</t>
  </si>
  <si>
    <t>P_in</t>
  </si>
  <si>
    <t>kmole/hr</t>
  </si>
  <si>
    <t>atm</t>
  </si>
  <si>
    <t>Mole fraction of heavy component in the feed</t>
  </si>
  <si>
    <t>Mole fraction of light component in the feed</t>
  </si>
  <si>
    <t>Totla mass flow rate</t>
  </si>
  <si>
    <t>Feed tempreture</t>
  </si>
  <si>
    <t>Feed pressure</t>
  </si>
  <si>
    <t>R</t>
  </si>
  <si>
    <t>Reflux molar ratio</t>
  </si>
  <si>
    <t>Q_cond</t>
  </si>
  <si>
    <t>Condenser duty</t>
  </si>
  <si>
    <t>Q_rebo</t>
  </si>
  <si>
    <t>Reboiler duty</t>
  </si>
  <si>
    <t>Table 1.1 - Tempreture, Pressure, and Flow Profiles</t>
  </si>
  <si>
    <t>Table 1.2 - Tray by Tray Surface Tension &amp; Properties For Liquid Phase</t>
  </si>
  <si>
    <t>Table 1.4 - Process Conditions</t>
  </si>
  <si>
    <t>Table 1.3 - Tray by Tray Surface Tension &amp; Properties For Vapor Phase</t>
  </si>
  <si>
    <t>_</t>
  </si>
  <si>
    <t>Tray no.</t>
  </si>
  <si>
    <t>mol/hr</t>
  </si>
  <si>
    <t>K1</t>
  </si>
  <si>
    <r>
      <t>U</t>
    </r>
    <r>
      <rPr>
        <vertAlign val="subscript"/>
        <sz val="11"/>
        <color theme="1"/>
        <rFont val="Calibri"/>
        <family val="2"/>
        <scheme val="minor"/>
      </rPr>
      <t>f</t>
    </r>
  </si>
  <si>
    <r>
      <t>C</t>
    </r>
    <r>
      <rPr>
        <vertAlign val="subscript"/>
        <sz val="11"/>
        <color theme="1"/>
        <rFont val="Calibri"/>
        <family val="2"/>
        <scheme val="minor"/>
      </rPr>
      <t>sb</t>
    </r>
  </si>
  <si>
    <r>
      <t>F</t>
    </r>
    <r>
      <rPr>
        <vertAlign val="subscript"/>
        <sz val="11"/>
        <color theme="1"/>
        <rFont val="Calibri"/>
        <family val="2"/>
        <scheme val="minor"/>
      </rPr>
      <t>lv</t>
    </r>
  </si>
  <si>
    <r>
      <t>W</t>
    </r>
    <r>
      <rPr>
        <vertAlign val="subscript"/>
        <sz val="11"/>
        <color theme="1"/>
        <rFont val="Calibri"/>
        <family val="2"/>
        <scheme val="minor"/>
      </rPr>
      <t>v</t>
    </r>
  </si>
  <si>
    <r>
      <t>W</t>
    </r>
    <r>
      <rPr>
        <vertAlign val="subscript"/>
        <sz val="11"/>
        <color theme="1"/>
        <rFont val="Calibri"/>
        <family val="2"/>
        <scheme val="minor"/>
      </rPr>
      <t>L</t>
    </r>
  </si>
  <si>
    <t>m/s</t>
  </si>
  <si>
    <r>
      <t>U</t>
    </r>
    <r>
      <rPr>
        <vertAlign val="subscript"/>
        <sz val="11"/>
        <color theme="1"/>
        <rFont val="Calibri"/>
        <family val="2"/>
        <scheme val="minor"/>
      </rPr>
      <t>n</t>
    </r>
  </si>
  <si>
    <r>
      <t>A</t>
    </r>
    <r>
      <rPr>
        <vertAlign val="subscript"/>
        <sz val="11"/>
        <color theme="1"/>
        <rFont val="Calibri"/>
        <family val="2"/>
        <scheme val="minor"/>
      </rPr>
      <t>net</t>
    </r>
  </si>
  <si>
    <r>
      <t xml:space="preserve">A </t>
    </r>
    <r>
      <rPr>
        <vertAlign val="subscript"/>
        <sz val="11"/>
        <color theme="1"/>
        <rFont val="Calibri"/>
        <family val="2"/>
        <scheme val="minor"/>
      </rPr>
      <t>cross section</t>
    </r>
  </si>
  <si>
    <r>
      <t xml:space="preserve">D </t>
    </r>
    <r>
      <rPr>
        <vertAlign val="subscript"/>
        <sz val="11"/>
        <color theme="1"/>
        <rFont val="Calibri"/>
        <family val="2"/>
        <scheme val="minor"/>
      </rPr>
      <t>column</t>
    </r>
  </si>
  <si>
    <t>m</t>
  </si>
  <si>
    <t>inch</t>
  </si>
  <si>
    <t>Tray Spacing
18 inch</t>
  </si>
  <si>
    <t>Tray Spacing
9 inch</t>
  </si>
  <si>
    <t>Tray Spacing
12 inch</t>
  </si>
  <si>
    <t>Tray Spacing
24 inch</t>
  </si>
  <si>
    <r>
      <t>D</t>
    </r>
    <r>
      <rPr>
        <vertAlign val="subscript"/>
        <sz val="11"/>
        <color theme="1"/>
        <rFont val="Calibri"/>
        <family val="2"/>
        <scheme val="minor"/>
      </rPr>
      <t>column</t>
    </r>
  </si>
  <si>
    <t>L</t>
  </si>
  <si>
    <t>V</t>
  </si>
  <si>
    <r>
      <t>C</t>
    </r>
    <r>
      <rPr>
        <b/>
        <vertAlign val="subscript"/>
        <sz val="11"/>
        <color theme="0"/>
        <rFont val="Calibri"/>
        <family val="2"/>
        <scheme val="minor"/>
      </rPr>
      <t>sb</t>
    </r>
  </si>
  <si>
    <r>
      <t>U</t>
    </r>
    <r>
      <rPr>
        <b/>
        <vertAlign val="subscript"/>
        <sz val="11"/>
        <color theme="0"/>
        <rFont val="Calibri"/>
        <family val="2"/>
        <scheme val="minor"/>
      </rPr>
      <t>n</t>
    </r>
    <r>
      <rPr>
        <b/>
        <sz val="11"/>
        <color theme="0"/>
        <rFont val="Calibri"/>
        <family val="2"/>
        <scheme val="minor"/>
      </rPr>
      <t xml:space="preserve"> (m/s)</t>
    </r>
  </si>
  <si>
    <r>
      <t xml:space="preserve">D </t>
    </r>
    <r>
      <rPr>
        <b/>
        <vertAlign val="subscript"/>
        <sz val="11"/>
        <color theme="0"/>
        <rFont val="Calibri"/>
        <family val="2"/>
        <scheme val="minor"/>
      </rPr>
      <t>column</t>
    </r>
    <r>
      <rPr>
        <b/>
        <sz val="11"/>
        <color theme="0"/>
        <rFont val="Calibri"/>
        <family val="2"/>
        <scheme val="minor"/>
      </rPr>
      <t xml:space="preserve"> (inch)</t>
    </r>
  </si>
  <si>
    <r>
      <t xml:space="preserve">A </t>
    </r>
    <r>
      <rPr>
        <b/>
        <vertAlign val="subscript"/>
        <sz val="11"/>
        <color theme="0"/>
        <rFont val="Calibri"/>
        <family val="2"/>
        <scheme val="minor"/>
      </rPr>
      <t>cross section</t>
    </r>
    <r>
      <rPr>
        <b/>
        <sz val="11"/>
        <color theme="0"/>
        <rFont val="Calibri"/>
        <family val="2"/>
        <scheme val="minor"/>
      </rPr>
      <t xml:space="preserve"> (m</t>
    </r>
    <r>
      <rPr>
        <b/>
        <vertAlign val="superscript"/>
        <sz val="11"/>
        <color theme="0"/>
        <rFont val="Calibri"/>
        <family val="2"/>
        <scheme val="minor"/>
      </rPr>
      <t>2</t>
    </r>
    <r>
      <rPr>
        <b/>
        <sz val="11"/>
        <color theme="0"/>
        <rFont val="Calibri"/>
        <family val="2"/>
        <scheme val="minor"/>
      </rPr>
      <t>)</t>
    </r>
  </si>
  <si>
    <t>Standard diameter</t>
  </si>
  <si>
    <t>46 inch
1.1664 m</t>
  </si>
  <si>
    <t>40 inch
1.016 m</t>
  </si>
  <si>
    <t>36 inch
0.9144 m</t>
  </si>
  <si>
    <t>32 inch
0.8128 m</t>
  </si>
  <si>
    <r>
      <t>kg/m</t>
    </r>
    <r>
      <rPr>
        <b/>
        <vertAlign val="superscript"/>
        <sz val="11"/>
        <color theme="0"/>
        <rFont val="Calibri"/>
        <family val="2"/>
        <scheme val="minor"/>
      </rPr>
      <t>3</t>
    </r>
  </si>
  <si>
    <r>
      <t>m</t>
    </r>
    <r>
      <rPr>
        <b/>
        <vertAlign val="superscript"/>
        <sz val="11"/>
        <color theme="0"/>
        <rFont val="Calibri"/>
        <family val="2"/>
        <scheme val="minor"/>
      </rPr>
      <t>3</t>
    </r>
    <r>
      <rPr>
        <b/>
        <sz val="11"/>
        <color theme="0"/>
        <rFont val="Calibri"/>
        <family val="2"/>
        <scheme val="minor"/>
      </rPr>
      <t>/s</t>
    </r>
  </si>
  <si>
    <r>
      <t>m</t>
    </r>
    <r>
      <rPr>
        <b/>
        <vertAlign val="superscript"/>
        <sz val="11"/>
        <color theme="0"/>
        <rFont val="Calibri"/>
        <family val="2"/>
        <scheme val="minor"/>
      </rPr>
      <t>2</t>
    </r>
  </si>
  <si>
    <r>
      <t xml:space="preserve">x </t>
    </r>
    <r>
      <rPr>
        <vertAlign val="subscript"/>
        <sz val="11"/>
        <color theme="1"/>
        <rFont val="Calibri"/>
        <family val="2"/>
        <scheme val="minor"/>
      </rPr>
      <t>heavy</t>
    </r>
  </si>
  <si>
    <r>
      <t xml:space="preserve">x </t>
    </r>
    <r>
      <rPr>
        <vertAlign val="subscript"/>
        <sz val="11"/>
        <color theme="1"/>
        <rFont val="Calibri"/>
        <family val="2"/>
        <scheme val="minor"/>
      </rPr>
      <t>light</t>
    </r>
  </si>
  <si>
    <r>
      <t xml:space="preserve">W </t>
    </r>
    <r>
      <rPr>
        <vertAlign val="subscript"/>
        <sz val="11"/>
        <color theme="1"/>
        <rFont val="Calibri"/>
        <family val="2"/>
        <scheme val="minor"/>
      </rPr>
      <t>feed</t>
    </r>
  </si>
  <si>
    <t>kgmole /hr</t>
  </si>
  <si>
    <t>kgmole/ hr</t>
  </si>
  <si>
    <t>kgmole / hr</t>
  </si>
  <si>
    <t>Table 2.1 - Diameter Calculation for Tray Spacing of 18 inches &amp; Downcomer Area of 12%</t>
  </si>
  <si>
    <t>Table 2.2 - Diameter Calculation for Common Tray Spacings &amp; 12% Downcomer Area</t>
  </si>
  <si>
    <t>10% Downcomer Area</t>
  </si>
  <si>
    <t>14% Downcomer Area</t>
  </si>
  <si>
    <t>12% Downcomer Area</t>
  </si>
  <si>
    <t>Table 2.3 - Diameter Calculation for Common Tray Spacings &amp; Different Downcomer Areas</t>
  </si>
  <si>
    <t>Downcomer
Area 10%</t>
  </si>
  <si>
    <t>Downcomer
Area 12%</t>
  </si>
  <si>
    <t>Downcomer
Area 14%</t>
  </si>
  <si>
    <r>
      <t xml:space="preserve">A </t>
    </r>
    <r>
      <rPr>
        <vertAlign val="subscript"/>
        <sz val="11"/>
        <color theme="1"/>
        <rFont val="Calibri"/>
        <family val="2"/>
        <scheme val="minor"/>
      </rPr>
      <t>column</t>
    </r>
  </si>
  <si>
    <r>
      <t xml:space="preserve">A </t>
    </r>
    <r>
      <rPr>
        <vertAlign val="subscript"/>
        <sz val="11"/>
        <color theme="1"/>
        <rFont val="Calibri"/>
        <family val="2"/>
        <scheme val="minor"/>
      </rPr>
      <t>downcomer</t>
    </r>
  </si>
  <si>
    <r>
      <t>m</t>
    </r>
    <r>
      <rPr>
        <vertAlign val="superscript"/>
        <sz val="11"/>
        <color theme="1"/>
        <rFont val="Calibri"/>
        <family val="2"/>
        <scheme val="minor"/>
      </rPr>
      <t>2</t>
    </r>
  </si>
  <si>
    <r>
      <t xml:space="preserve">L </t>
    </r>
    <r>
      <rPr>
        <vertAlign val="subscript"/>
        <sz val="11"/>
        <color theme="1"/>
        <rFont val="Calibri"/>
        <family val="2"/>
        <scheme val="minor"/>
      </rPr>
      <t>weir</t>
    </r>
  </si>
  <si>
    <r>
      <t xml:space="preserve">A  </t>
    </r>
    <r>
      <rPr>
        <vertAlign val="subscript"/>
        <sz val="11"/>
        <color theme="1"/>
        <rFont val="Calibri"/>
        <family val="2"/>
        <scheme val="minor"/>
      </rPr>
      <t>downcomer</t>
    </r>
  </si>
  <si>
    <r>
      <t>A</t>
    </r>
    <r>
      <rPr>
        <vertAlign val="subscript"/>
        <sz val="11"/>
        <color theme="1"/>
        <rFont val="Calibri"/>
        <family val="2"/>
        <scheme val="minor"/>
      </rPr>
      <t>downcomer</t>
    </r>
  </si>
  <si>
    <r>
      <t xml:space="preserve">L  </t>
    </r>
    <r>
      <rPr>
        <vertAlign val="subscript"/>
        <sz val="11"/>
        <color theme="1"/>
        <rFont val="Calibri"/>
        <family val="2"/>
        <scheme val="minor"/>
      </rPr>
      <t>weir</t>
    </r>
  </si>
  <si>
    <r>
      <t>L</t>
    </r>
    <r>
      <rPr>
        <vertAlign val="subscript"/>
        <sz val="11"/>
        <color theme="1"/>
        <rFont val="Calibri"/>
        <family val="2"/>
        <scheme val="minor"/>
      </rPr>
      <t>weir</t>
    </r>
  </si>
  <si>
    <t>Column 
Diameter
32 inch</t>
  </si>
  <si>
    <t>Column 
Diameter
36 inch</t>
  </si>
  <si>
    <t>Column 
Diameter
40 inch</t>
  </si>
  <si>
    <t>Column 
Diameter
46 inch</t>
  </si>
  <si>
    <t>Hole Area %</t>
  </si>
  <si>
    <t>Table 3.2 - Active &amp; Hole Area for Several Diameters, Hole Areas %, &amp; Downcomer Areas</t>
  </si>
  <si>
    <t>Table 3.1 - Weir length for Several Diameters &amp; Downcomer Areas</t>
  </si>
  <si>
    <r>
      <t xml:space="preserve">A </t>
    </r>
    <r>
      <rPr>
        <b/>
        <vertAlign val="subscript"/>
        <sz val="11"/>
        <color theme="0"/>
        <rFont val="Calibri"/>
        <family val="2"/>
        <scheme val="minor"/>
      </rPr>
      <t>active</t>
    </r>
    <r>
      <rPr>
        <b/>
        <sz val="11"/>
        <color theme="0"/>
        <rFont val="Calibri"/>
        <family val="2"/>
        <scheme val="minor"/>
      </rPr>
      <t xml:space="preserve"> (m</t>
    </r>
    <r>
      <rPr>
        <b/>
        <vertAlign val="superscript"/>
        <sz val="11"/>
        <color theme="0"/>
        <rFont val="Calibri"/>
        <family val="2"/>
        <scheme val="minor"/>
      </rPr>
      <t>2</t>
    </r>
    <r>
      <rPr>
        <b/>
        <sz val="11"/>
        <color theme="0"/>
        <rFont val="Calibri"/>
        <family val="2"/>
        <scheme val="minor"/>
      </rPr>
      <t>)</t>
    </r>
  </si>
  <si>
    <r>
      <t xml:space="preserve">A </t>
    </r>
    <r>
      <rPr>
        <b/>
        <vertAlign val="subscript"/>
        <sz val="11"/>
        <color theme="0"/>
        <rFont val="Calibri"/>
        <family val="2"/>
        <scheme val="minor"/>
      </rPr>
      <t>hole</t>
    </r>
    <r>
      <rPr>
        <b/>
        <sz val="11"/>
        <color theme="0"/>
        <rFont val="Calibri"/>
        <family val="2"/>
        <scheme val="minor"/>
      </rPr>
      <t xml:space="preserve"> (m</t>
    </r>
    <r>
      <rPr>
        <b/>
        <vertAlign val="superscript"/>
        <sz val="11"/>
        <color theme="0"/>
        <rFont val="Calibri"/>
        <family val="2"/>
        <scheme val="minor"/>
      </rPr>
      <t>2</t>
    </r>
    <r>
      <rPr>
        <b/>
        <sz val="11"/>
        <color theme="0"/>
        <rFont val="Calibri"/>
        <family val="2"/>
        <scheme val="minor"/>
      </rPr>
      <t>)</t>
    </r>
  </si>
  <si>
    <t>Weir Height of 2 inch</t>
  </si>
  <si>
    <t>Weir Height of 3 inch</t>
  </si>
  <si>
    <t>K2</t>
  </si>
  <si>
    <t>check weeping</t>
  </si>
  <si>
    <r>
      <t xml:space="preserve">h </t>
    </r>
    <r>
      <rPr>
        <b/>
        <vertAlign val="subscript"/>
        <sz val="11"/>
        <color theme="0"/>
        <rFont val="Calibri"/>
        <family val="2"/>
        <scheme val="minor"/>
      </rPr>
      <t>ow,Max</t>
    </r>
    <r>
      <rPr>
        <b/>
        <sz val="11"/>
        <color theme="0"/>
        <rFont val="Calibri"/>
        <family val="2"/>
        <scheme val="minor"/>
      </rPr>
      <t xml:space="preserve"> (mm)</t>
    </r>
  </si>
  <si>
    <r>
      <t xml:space="preserve">h </t>
    </r>
    <r>
      <rPr>
        <b/>
        <vertAlign val="subscript"/>
        <sz val="11"/>
        <color theme="0"/>
        <rFont val="Calibri"/>
        <family val="2"/>
        <scheme val="minor"/>
      </rPr>
      <t>ow, Min</t>
    </r>
    <r>
      <rPr>
        <b/>
        <sz val="11"/>
        <color theme="0"/>
        <rFont val="Calibri"/>
        <family val="2"/>
        <scheme val="minor"/>
      </rPr>
      <t xml:space="preserve"> (mm)</t>
    </r>
  </si>
  <si>
    <r>
      <t>h</t>
    </r>
    <r>
      <rPr>
        <b/>
        <vertAlign val="subscript"/>
        <sz val="11"/>
        <color theme="0"/>
        <rFont val="Calibri"/>
        <family val="2"/>
        <scheme val="minor"/>
      </rPr>
      <t>w</t>
    </r>
    <r>
      <rPr>
        <b/>
        <sz val="11"/>
        <color theme="0"/>
        <rFont val="Calibri"/>
        <family val="2"/>
        <scheme val="minor"/>
      </rPr>
      <t xml:space="preserve"> + h</t>
    </r>
    <r>
      <rPr>
        <b/>
        <vertAlign val="subscript"/>
        <sz val="11"/>
        <color theme="0"/>
        <rFont val="Calibri"/>
        <family val="2"/>
        <scheme val="minor"/>
      </rPr>
      <t>ow</t>
    </r>
    <r>
      <rPr>
        <b/>
        <sz val="11"/>
        <color theme="0"/>
        <rFont val="Calibri"/>
        <family val="2"/>
        <scheme val="minor"/>
      </rPr>
      <t xml:space="preserve"> at Min (mm)</t>
    </r>
  </si>
  <si>
    <r>
      <t xml:space="preserve">D </t>
    </r>
    <r>
      <rPr>
        <vertAlign val="subscript"/>
        <sz val="11"/>
        <color theme="1"/>
        <rFont val="Calibri"/>
        <family val="2"/>
        <scheme val="minor"/>
      </rPr>
      <t>hole</t>
    </r>
  </si>
  <si>
    <t>Tray 1</t>
  </si>
  <si>
    <t>Tray 7</t>
  </si>
  <si>
    <t>Tray 4</t>
  </si>
  <si>
    <t>Downcomer
Area %</t>
  </si>
  <si>
    <t>mm</t>
  </si>
  <si>
    <t>Plate thickness (Steel Plate)</t>
  </si>
  <si>
    <t>Hole diameter</t>
  </si>
  <si>
    <t>Table 4.1 - Pressure Drop in 3 Different Trays; Column Diameter 32 inch</t>
  </si>
  <si>
    <t>Table 4.2 - Pressure Drop in 3 Different Trays; Column Diameter 36 inch</t>
  </si>
  <si>
    <t>Hole Area
of 13%:
0.740
Hole Area
of 10% :
0.722
Hole Area
of 7% :
0.709</t>
  </si>
  <si>
    <t>Tray Spacing
+ Weir height (mm)</t>
  </si>
  <si>
    <t>Table 4.3 - Backup Height &amp; Check Tray Spacing; Column Diameter 32 inch</t>
  </si>
  <si>
    <r>
      <t xml:space="preserve">h </t>
    </r>
    <r>
      <rPr>
        <b/>
        <vertAlign val="subscript"/>
        <sz val="11"/>
        <color theme="0"/>
        <rFont val="Calibri"/>
        <family val="2"/>
        <scheme val="minor"/>
      </rPr>
      <t>weir</t>
    </r>
    <r>
      <rPr>
        <b/>
        <sz val="11"/>
        <color theme="0"/>
        <rFont val="Calibri"/>
        <family val="2"/>
        <scheme val="minor"/>
      </rPr>
      <t xml:space="preserve"> (mm)</t>
    </r>
  </si>
  <si>
    <r>
      <t xml:space="preserve">h </t>
    </r>
    <r>
      <rPr>
        <b/>
        <vertAlign val="subscript"/>
        <sz val="11"/>
        <color theme="0"/>
        <rFont val="Calibri"/>
        <family val="2"/>
        <scheme val="minor"/>
      </rPr>
      <t>ap</t>
    </r>
    <r>
      <rPr>
        <b/>
        <sz val="11"/>
        <color theme="0"/>
        <rFont val="Calibri"/>
        <family val="2"/>
        <scheme val="minor"/>
      </rPr>
      <t xml:space="preserve"> (mm)</t>
    </r>
  </si>
  <si>
    <r>
      <t xml:space="preserve">A </t>
    </r>
    <r>
      <rPr>
        <b/>
        <vertAlign val="subscript"/>
        <sz val="11"/>
        <color theme="0"/>
        <rFont val="Calibri"/>
        <family val="2"/>
        <scheme val="minor"/>
      </rPr>
      <t>ap</t>
    </r>
    <r>
      <rPr>
        <b/>
        <sz val="11"/>
        <color theme="0"/>
        <rFont val="Calibri"/>
        <family val="2"/>
        <scheme val="minor"/>
      </rPr>
      <t xml:space="preserve"> (m</t>
    </r>
    <r>
      <rPr>
        <b/>
        <vertAlign val="superscript"/>
        <sz val="11"/>
        <color theme="0"/>
        <rFont val="Calibri"/>
        <family val="2"/>
        <scheme val="minor"/>
      </rPr>
      <t>2</t>
    </r>
    <r>
      <rPr>
        <b/>
        <sz val="11"/>
        <color theme="0"/>
        <rFont val="Calibri"/>
        <family val="2"/>
        <scheme val="minor"/>
      </rPr>
      <t>)</t>
    </r>
  </si>
  <si>
    <r>
      <t xml:space="preserve">A </t>
    </r>
    <r>
      <rPr>
        <b/>
        <vertAlign val="subscript"/>
        <sz val="11"/>
        <color theme="0"/>
        <rFont val="Calibri"/>
        <family val="2"/>
        <scheme val="minor"/>
      </rPr>
      <t>d</t>
    </r>
    <r>
      <rPr>
        <b/>
        <sz val="11"/>
        <color theme="0"/>
        <rFont val="Calibri"/>
        <family val="2"/>
        <scheme val="minor"/>
      </rPr>
      <t xml:space="preserve"> (m</t>
    </r>
    <r>
      <rPr>
        <b/>
        <vertAlign val="superscript"/>
        <sz val="11"/>
        <color theme="0"/>
        <rFont val="Calibri"/>
        <family val="2"/>
        <scheme val="minor"/>
      </rPr>
      <t>2</t>
    </r>
    <r>
      <rPr>
        <b/>
        <sz val="11"/>
        <color theme="0"/>
        <rFont val="Calibri"/>
        <family val="2"/>
        <scheme val="minor"/>
      </rPr>
      <t>)</t>
    </r>
  </si>
  <si>
    <r>
      <t xml:space="preserve">h </t>
    </r>
    <r>
      <rPr>
        <b/>
        <vertAlign val="subscript"/>
        <sz val="11"/>
        <color theme="0"/>
        <rFont val="Calibri"/>
        <family val="2"/>
        <scheme val="minor"/>
      </rPr>
      <t>dc</t>
    </r>
    <r>
      <rPr>
        <b/>
        <sz val="11"/>
        <color theme="0"/>
        <rFont val="Calibri"/>
        <family val="2"/>
        <scheme val="minor"/>
      </rPr>
      <t xml:space="preserve"> (mm)</t>
    </r>
  </si>
  <si>
    <t>Table 4.4 - Backup Height &amp; Check Tray Spacing; Column Diameter 36 inch</t>
  </si>
  <si>
    <r>
      <t xml:space="preserve">u </t>
    </r>
    <r>
      <rPr>
        <b/>
        <vertAlign val="subscript"/>
        <sz val="11"/>
        <color theme="0"/>
        <rFont val="Calibri"/>
        <family val="2"/>
        <scheme val="minor"/>
      </rPr>
      <t>h,max</t>
    </r>
    <r>
      <rPr>
        <b/>
        <sz val="11"/>
        <color theme="0"/>
        <rFont val="Calibri"/>
        <family val="2"/>
        <scheme val="minor"/>
      </rPr>
      <t xml:space="preserve"> (m/s)</t>
    </r>
  </si>
  <si>
    <r>
      <t>C</t>
    </r>
    <r>
      <rPr>
        <b/>
        <vertAlign val="subscript"/>
        <sz val="11"/>
        <color theme="0"/>
        <rFont val="Calibri"/>
        <family val="2"/>
        <scheme val="minor"/>
      </rPr>
      <t>0</t>
    </r>
  </si>
  <si>
    <r>
      <t>h</t>
    </r>
    <r>
      <rPr>
        <b/>
        <vertAlign val="subscript"/>
        <sz val="11"/>
        <color theme="0"/>
        <rFont val="Calibri"/>
        <family val="2"/>
        <scheme val="minor"/>
      </rPr>
      <t>d</t>
    </r>
    <r>
      <rPr>
        <b/>
        <sz val="11"/>
        <color theme="0"/>
        <rFont val="Calibri"/>
        <family val="2"/>
        <scheme val="minor"/>
      </rPr>
      <t xml:space="preserve"> (mm)</t>
    </r>
  </si>
  <si>
    <r>
      <t>h</t>
    </r>
    <r>
      <rPr>
        <b/>
        <vertAlign val="subscript"/>
        <sz val="11"/>
        <color theme="0"/>
        <rFont val="Calibri"/>
        <family val="2"/>
        <scheme val="minor"/>
      </rPr>
      <t xml:space="preserve">r </t>
    </r>
    <r>
      <rPr>
        <b/>
        <sz val="11"/>
        <color theme="0"/>
        <rFont val="Calibri"/>
        <family val="2"/>
        <scheme val="minor"/>
      </rPr>
      <t>(mm)</t>
    </r>
  </si>
  <si>
    <r>
      <t xml:space="preserve">h </t>
    </r>
    <r>
      <rPr>
        <b/>
        <vertAlign val="subscript"/>
        <sz val="11"/>
        <color theme="0"/>
        <rFont val="Calibri"/>
        <family val="2"/>
        <scheme val="minor"/>
      </rPr>
      <t>weir</t>
    </r>
    <r>
      <rPr>
        <b/>
        <sz val="11"/>
        <color theme="0"/>
        <rFont val="Calibri"/>
        <family val="2"/>
        <scheme val="minor"/>
      </rPr>
      <t xml:space="preserve"> = 2 inch:
h</t>
    </r>
    <r>
      <rPr>
        <b/>
        <vertAlign val="subscript"/>
        <sz val="11"/>
        <color theme="0"/>
        <rFont val="Calibri"/>
        <family val="2"/>
        <scheme val="minor"/>
      </rPr>
      <t>t</t>
    </r>
    <r>
      <rPr>
        <b/>
        <sz val="11"/>
        <color theme="0"/>
        <rFont val="Calibri"/>
        <family val="2"/>
        <scheme val="minor"/>
      </rPr>
      <t xml:space="preserve"> (mm)</t>
    </r>
  </si>
  <si>
    <r>
      <t xml:space="preserve">h </t>
    </r>
    <r>
      <rPr>
        <b/>
        <vertAlign val="subscript"/>
        <sz val="11"/>
        <color theme="0"/>
        <rFont val="Calibri"/>
        <family val="2"/>
        <scheme val="minor"/>
      </rPr>
      <t>weir</t>
    </r>
    <r>
      <rPr>
        <b/>
        <sz val="11"/>
        <color theme="0"/>
        <rFont val="Calibri"/>
        <family val="2"/>
        <scheme val="minor"/>
      </rPr>
      <t xml:space="preserve"> = 3 inch:
h</t>
    </r>
    <r>
      <rPr>
        <b/>
        <vertAlign val="subscript"/>
        <sz val="11"/>
        <color theme="0"/>
        <rFont val="Calibri"/>
        <family val="2"/>
        <scheme val="minor"/>
      </rPr>
      <t>t</t>
    </r>
    <r>
      <rPr>
        <b/>
        <sz val="11"/>
        <color theme="0"/>
        <rFont val="Calibri"/>
        <family val="2"/>
        <scheme val="minor"/>
      </rPr>
      <t xml:space="preserve"> (mm)</t>
    </r>
  </si>
  <si>
    <r>
      <t xml:space="preserve">h </t>
    </r>
    <r>
      <rPr>
        <b/>
        <vertAlign val="subscript"/>
        <sz val="11"/>
        <color theme="0"/>
        <rFont val="Calibri"/>
        <family val="2"/>
        <scheme val="minor"/>
      </rPr>
      <t>weir</t>
    </r>
    <r>
      <rPr>
        <b/>
        <sz val="11"/>
        <color theme="0"/>
        <rFont val="Calibri"/>
        <family val="2"/>
        <scheme val="minor"/>
      </rPr>
      <t xml:space="preserve"> = 2 inch:
Delta P (kPa)</t>
    </r>
  </si>
  <si>
    <r>
      <t xml:space="preserve">h </t>
    </r>
    <r>
      <rPr>
        <b/>
        <vertAlign val="subscript"/>
        <sz val="11"/>
        <color theme="0"/>
        <rFont val="Calibri"/>
        <family val="2"/>
        <scheme val="minor"/>
      </rPr>
      <t>weir</t>
    </r>
    <r>
      <rPr>
        <b/>
        <sz val="11"/>
        <color theme="0"/>
        <rFont val="Calibri"/>
        <family val="2"/>
        <scheme val="minor"/>
      </rPr>
      <t xml:space="preserve"> = 3 inch:
Delta P (kPa)</t>
    </r>
  </si>
  <si>
    <t>Flooding %</t>
  </si>
  <si>
    <t>Ψ</t>
  </si>
  <si>
    <r>
      <t xml:space="preserve">A </t>
    </r>
    <r>
      <rPr>
        <b/>
        <vertAlign val="subscript"/>
        <sz val="11"/>
        <color theme="0"/>
        <rFont val="Calibri"/>
        <family val="2"/>
        <scheme val="minor"/>
      </rPr>
      <t>net</t>
    </r>
    <r>
      <rPr>
        <b/>
        <sz val="11"/>
        <color theme="0"/>
        <rFont val="Calibri"/>
        <family val="2"/>
        <scheme val="minor"/>
      </rPr>
      <t xml:space="preserve"> (m</t>
    </r>
    <r>
      <rPr>
        <b/>
        <vertAlign val="superscript"/>
        <sz val="11"/>
        <color theme="0"/>
        <rFont val="Calibri"/>
        <family val="2"/>
        <scheme val="minor"/>
      </rPr>
      <t>2</t>
    </r>
    <r>
      <rPr>
        <b/>
        <sz val="11"/>
        <color theme="0"/>
        <rFont val="Calibri"/>
        <family val="2"/>
        <scheme val="minor"/>
      </rPr>
      <t>)</t>
    </r>
  </si>
  <si>
    <r>
      <t>u</t>
    </r>
    <r>
      <rPr>
        <b/>
        <vertAlign val="subscript"/>
        <sz val="11"/>
        <color theme="0"/>
        <rFont val="Calibri"/>
        <family val="2"/>
        <scheme val="minor"/>
      </rPr>
      <t>v</t>
    </r>
    <r>
      <rPr>
        <b/>
        <sz val="11"/>
        <color theme="0"/>
        <rFont val="Calibri"/>
        <family val="2"/>
        <scheme val="minor"/>
      </rPr>
      <t xml:space="preserve"> (m/s)</t>
    </r>
  </si>
  <si>
    <r>
      <t xml:space="preserve">F </t>
    </r>
    <r>
      <rPr>
        <b/>
        <vertAlign val="subscript"/>
        <sz val="11"/>
        <color theme="0"/>
        <rFont val="Calibri"/>
        <family val="2"/>
        <scheme val="minor"/>
      </rPr>
      <t>LV</t>
    </r>
  </si>
  <si>
    <t>Table 4.5 - Check Flooding; 36 inch &amp; 14% Downcomer Area</t>
  </si>
  <si>
    <r>
      <t xml:space="preserve">13% Hole Area:
</t>
    </r>
    <r>
      <rPr>
        <b/>
        <sz val="14"/>
        <color theme="0"/>
        <rFont val="Calibri"/>
        <family val="2"/>
        <scheme val="minor"/>
      </rPr>
      <t>t</t>
    </r>
    <r>
      <rPr>
        <b/>
        <vertAlign val="subscript"/>
        <sz val="14"/>
        <color theme="0"/>
        <rFont val="Calibri"/>
        <family val="2"/>
        <scheme val="minor"/>
      </rPr>
      <t>r</t>
    </r>
    <r>
      <rPr>
        <b/>
        <vertAlign val="subscript"/>
        <sz val="11"/>
        <color theme="0"/>
        <rFont val="Calibri"/>
        <family val="2"/>
        <scheme val="minor"/>
      </rPr>
      <t xml:space="preserve"> </t>
    </r>
    <r>
      <rPr>
        <b/>
        <sz val="11"/>
        <color theme="0"/>
        <rFont val="Calibri"/>
        <family val="2"/>
        <scheme val="minor"/>
      </rPr>
      <t xml:space="preserve"> (s)</t>
    </r>
  </si>
  <si>
    <r>
      <t xml:space="preserve">10% Hole Area:
</t>
    </r>
    <r>
      <rPr>
        <b/>
        <sz val="14"/>
        <color theme="0"/>
        <rFont val="Calibri"/>
        <family val="2"/>
        <scheme val="minor"/>
      </rPr>
      <t>t</t>
    </r>
    <r>
      <rPr>
        <b/>
        <vertAlign val="subscript"/>
        <sz val="14"/>
        <color theme="0"/>
        <rFont val="Calibri"/>
        <family val="2"/>
        <scheme val="minor"/>
      </rPr>
      <t>r</t>
    </r>
    <r>
      <rPr>
        <b/>
        <sz val="11"/>
        <color theme="0"/>
        <rFont val="Calibri"/>
        <family val="2"/>
        <scheme val="minor"/>
      </rPr>
      <t xml:space="preserve">  (s)</t>
    </r>
  </si>
  <si>
    <r>
      <t xml:space="preserve">10% Hole Area:
</t>
    </r>
    <r>
      <rPr>
        <b/>
        <sz val="14"/>
        <color theme="0"/>
        <rFont val="Calibri"/>
        <family val="2"/>
        <scheme val="minor"/>
      </rPr>
      <t xml:space="preserve">h </t>
    </r>
    <r>
      <rPr>
        <b/>
        <vertAlign val="subscript"/>
        <sz val="14"/>
        <color theme="0"/>
        <rFont val="Calibri"/>
        <family val="2"/>
        <scheme val="minor"/>
      </rPr>
      <t>b</t>
    </r>
    <r>
      <rPr>
        <b/>
        <sz val="11"/>
        <color theme="0"/>
        <rFont val="Calibri"/>
        <family val="2"/>
        <scheme val="minor"/>
      </rPr>
      <t xml:space="preserve"> (mm)</t>
    </r>
  </si>
  <si>
    <r>
      <t xml:space="preserve">13% Hole Area:
</t>
    </r>
    <r>
      <rPr>
        <b/>
        <sz val="14"/>
        <color theme="0"/>
        <rFont val="Calibri"/>
        <family val="2"/>
        <scheme val="minor"/>
      </rPr>
      <t xml:space="preserve">h </t>
    </r>
    <r>
      <rPr>
        <b/>
        <vertAlign val="subscript"/>
        <sz val="14"/>
        <color theme="0"/>
        <rFont val="Calibri"/>
        <family val="2"/>
        <scheme val="minor"/>
      </rPr>
      <t>b</t>
    </r>
    <r>
      <rPr>
        <b/>
        <sz val="11"/>
        <color theme="0"/>
        <rFont val="Calibri"/>
        <family val="2"/>
        <scheme val="minor"/>
      </rPr>
      <t xml:space="preserve"> (mm)</t>
    </r>
  </si>
  <si>
    <t>Plate Spacing</t>
  </si>
  <si>
    <t>Downcomer Area %</t>
  </si>
  <si>
    <t>Table 5.1 - Plate Design Finalized Parameters</t>
  </si>
  <si>
    <r>
      <t xml:space="preserve">D </t>
    </r>
    <r>
      <rPr>
        <b/>
        <vertAlign val="subscript"/>
        <sz val="11"/>
        <color theme="0"/>
        <rFont val="Calibri"/>
        <family val="2"/>
        <scheme val="minor"/>
      </rPr>
      <t>Column</t>
    </r>
  </si>
  <si>
    <r>
      <t xml:space="preserve">h </t>
    </r>
    <r>
      <rPr>
        <b/>
        <vertAlign val="subscript"/>
        <sz val="11"/>
        <color theme="0"/>
        <rFont val="Calibri"/>
        <family val="2"/>
        <scheme val="minor"/>
      </rPr>
      <t>weir</t>
    </r>
  </si>
  <si>
    <r>
      <t xml:space="preserve">A </t>
    </r>
    <r>
      <rPr>
        <b/>
        <vertAlign val="subscript"/>
        <sz val="11"/>
        <color theme="0"/>
        <rFont val="Calibri"/>
        <family val="2"/>
        <scheme val="minor"/>
      </rPr>
      <t>column</t>
    </r>
  </si>
  <si>
    <r>
      <t xml:space="preserve">A </t>
    </r>
    <r>
      <rPr>
        <b/>
        <vertAlign val="subscript"/>
        <sz val="11"/>
        <color theme="0"/>
        <rFont val="Calibri"/>
        <family val="2"/>
        <scheme val="minor"/>
      </rPr>
      <t>Downcomer</t>
    </r>
  </si>
  <si>
    <r>
      <t xml:space="preserve">L </t>
    </r>
    <r>
      <rPr>
        <b/>
        <vertAlign val="subscript"/>
        <sz val="11"/>
        <color theme="0"/>
        <rFont val="Calibri"/>
        <family val="2"/>
        <scheme val="minor"/>
      </rPr>
      <t>weir</t>
    </r>
  </si>
  <si>
    <r>
      <t xml:space="preserve">A </t>
    </r>
    <r>
      <rPr>
        <b/>
        <vertAlign val="subscript"/>
        <sz val="11"/>
        <color theme="0"/>
        <rFont val="Calibri"/>
        <family val="2"/>
        <scheme val="minor"/>
      </rPr>
      <t>Active</t>
    </r>
  </si>
  <si>
    <r>
      <t xml:space="preserve">A </t>
    </r>
    <r>
      <rPr>
        <b/>
        <vertAlign val="subscript"/>
        <sz val="11"/>
        <color theme="0"/>
        <rFont val="Calibri"/>
        <family val="2"/>
        <scheme val="minor"/>
      </rPr>
      <t>Hole</t>
    </r>
  </si>
  <si>
    <r>
      <t xml:space="preserve">D </t>
    </r>
    <r>
      <rPr>
        <b/>
        <vertAlign val="subscript"/>
        <sz val="11"/>
        <color theme="0"/>
        <rFont val="Calibri"/>
        <family val="2"/>
        <scheme val="minor"/>
      </rPr>
      <t>hole</t>
    </r>
  </si>
  <si>
    <r>
      <t>L</t>
    </r>
    <r>
      <rPr>
        <vertAlign val="subscript"/>
        <sz val="11"/>
        <color theme="1"/>
        <rFont val="Calibri"/>
        <family val="2"/>
        <scheme val="minor"/>
      </rPr>
      <t>w</t>
    </r>
    <r>
      <rPr>
        <sz val="11"/>
        <color theme="1"/>
        <rFont val="Calibri"/>
        <family val="2"/>
        <scheme val="minor"/>
      </rPr>
      <t xml:space="preserve"> / D </t>
    </r>
    <r>
      <rPr>
        <vertAlign val="subscript"/>
        <sz val="11"/>
        <color theme="1"/>
        <rFont val="Calibri"/>
        <family val="2"/>
        <scheme val="minor"/>
      </rPr>
      <t>column</t>
    </r>
  </si>
  <si>
    <r>
      <t>θ</t>
    </r>
    <r>
      <rPr>
        <vertAlign val="subscript"/>
        <sz val="11"/>
        <color theme="1"/>
        <rFont val="Calibri"/>
        <family val="2"/>
      </rPr>
      <t>c</t>
    </r>
  </si>
  <si>
    <r>
      <t xml:space="preserve">L </t>
    </r>
    <r>
      <rPr>
        <vertAlign val="subscript"/>
        <sz val="11"/>
        <color theme="1"/>
        <rFont val="Calibri"/>
        <family val="2"/>
        <scheme val="minor"/>
      </rPr>
      <t>strip</t>
    </r>
  </si>
  <si>
    <r>
      <t>θ</t>
    </r>
    <r>
      <rPr>
        <vertAlign val="subscript"/>
        <sz val="11"/>
        <color theme="1"/>
        <rFont val="Calibri"/>
        <family val="2"/>
      </rPr>
      <t>c</t>
    </r>
    <r>
      <rPr>
        <sz val="11"/>
        <color theme="1"/>
        <rFont val="Calibri"/>
        <family val="2"/>
      </rPr>
      <t>'</t>
    </r>
  </si>
  <si>
    <t>Degree</t>
  </si>
  <si>
    <r>
      <t xml:space="preserve">A </t>
    </r>
    <r>
      <rPr>
        <vertAlign val="subscript"/>
        <sz val="11"/>
        <color theme="1"/>
        <rFont val="Calibri"/>
        <family val="2"/>
        <scheme val="minor"/>
      </rPr>
      <t>strip</t>
    </r>
  </si>
  <si>
    <t>Clearance</t>
  </si>
  <si>
    <r>
      <t xml:space="preserve">L </t>
    </r>
    <r>
      <rPr>
        <vertAlign val="subscript"/>
        <sz val="11"/>
        <color theme="1"/>
        <rFont val="Calibri"/>
        <family val="2"/>
        <scheme val="minor"/>
      </rPr>
      <t>cz</t>
    </r>
  </si>
  <si>
    <r>
      <t xml:space="preserve">A </t>
    </r>
    <r>
      <rPr>
        <vertAlign val="subscript"/>
        <sz val="11"/>
        <color theme="1"/>
        <rFont val="Calibri"/>
        <family val="2"/>
        <scheme val="minor"/>
      </rPr>
      <t>cz</t>
    </r>
  </si>
  <si>
    <r>
      <t xml:space="preserve">A </t>
    </r>
    <r>
      <rPr>
        <vertAlign val="subscript"/>
        <sz val="11"/>
        <color theme="1"/>
        <rFont val="Calibri"/>
        <family val="2"/>
        <scheme val="minor"/>
      </rPr>
      <t>p</t>
    </r>
  </si>
  <si>
    <r>
      <t>A</t>
    </r>
    <r>
      <rPr>
        <vertAlign val="subscript"/>
        <sz val="11"/>
        <color theme="1"/>
        <rFont val="Calibri"/>
        <family val="2"/>
        <scheme val="minor"/>
      </rPr>
      <t>h</t>
    </r>
    <r>
      <rPr>
        <sz val="11"/>
        <color theme="1"/>
        <rFont val="Calibri"/>
        <family val="2"/>
        <scheme val="minor"/>
      </rPr>
      <t xml:space="preserve"> / A</t>
    </r>
    <r>
      <rPr>
        <vertAlign val="subscript"/>
        <sz val="11"/>
        <color theme="1"/>
        <rFont val="Calibri"/>
        <family val="2"/>
        <scheme val="minor"/>
      </rPr>
      <t>p</t>
    </r>
  </si>
  <si>
    <r>
      <t>L</t>
    </r>
    <r>
      <rPr>
        <vertAlign val="subscript"/>
        <sz val="11"/>
        <color theme="1"/>
        <rFont val="Calibri"/>
        <family val="2"/>
        <scheme val="minor"/>
      </rPr>
      <t>p</t>
    </r>
    <r>
      <rPr>
        <sz val="11"/>
        <color theme="1"/>
        <rFont val="Calibri"/>
        <family val="2"/>
        <scheme val="minor"/>
      </rPr>
      <t xml:space="preserve"> / D </t>
    </r>
    <r>
      <rPr>
        <vertAlign val="subscript"/>
        <sz val="11"/>
        <color theme="1"/>
        <rFont val="Calibri"/>
        <family val="2"/>
        <scheme val="minor"/>
      </rPr>
      <t>hole</t>
    </r>
  </si>
  <si>
    <t>Area of one hole</t>
  </si>
  <si>
    <r>
      <t xml:space="preserve">N </t>
    </r>
    <r>
      <rPr>
        <vertAlign val="subscript"/>
        <sz val="11"/>
        <color theme="1"/>
        <rFont val="Calibri"/>
        <family val="2"/>
        <scheme val="minor"/>
      </rPr>
      <t>holes</t>
    </r>
  </si>
  <si>
    <t>This ratio will be used to estimate the angle related to downcomer area</t>
  </si>
  <si>
    <t>Angle of the downcomer hole relative to the center of the plate</t>
  </si>
  <si>
    <t>180 - θc</t>
  </si>
  <si>
    <t>Clearance of the active surface of the plate to the edges (shown in figure)</t>
  </si>
  <si>
    <t>This ratio will be used to estimate the ratio of distance between holes and hole diameter</t>
  </si>
  <si>
    <t>Values of 2.5-3 are satisfactory</t>
  </si>
  <si>
    <t>Table 5.2 - Plate Layout Parameters</t>
  </si>
  <si>
    <r>
      <t xml:space="preserve">Length of unperforated edge strips = </t>
    </r>
    <r>
      <rPr>
        <b/>
        <sz val="11"/>
        <color theme="1"/>
        <rFont val="Calibri"/>
        <family val="2"/>
        <scheme val="minor"/>
      </rPr>
      <t>(D</t>
    </r>
    <r>
      <rPr>
        <b/>
        <vertAlign val="subscript"/>
        <sz val="11"/>
        <color theme="1"/>
        <rFont val="Calibri"/>
        <family val="2"/>
        <scheme val="minor"/>
      </rPr>
      <t>hole</t>
    </r>
    <r>
      <rPr>
        <b/>
        <sz val="11"/>
        <color theme="1"/>
        <rFont val="Calibri"/>
        <family val="2"/>
        <scheme val="minor"/>
      </rPr>
      <t xml:space="preserve"> - Clearance)*Pi*θc'/180</t>
    </r>
  </si>
  <si>
    <r>
      <t xml:space="preserve">Area of unperforated edge strips = </t>
    </r>
    <r>
      <rPr>
        <b/>
        <sz val="11"/>
        <color theme="1"/>
        <rFont val="Calibri"/>
        <family val="2"/>
        <scheme val="minor"/>
      </rPr>
      <t>Clearance * L</t>
    </r>
    <r>
      <rPr>
        <b/>
        <vertAlign val="subscript"/>
        <sz val="11"/>
        <color theme="1"/>
        <rFont val="Calibri"/>
        <family val="2"/>
        <scheme val="minor"/>
      </rPr>
      <t>strip</t>
    </r>
  </si>
  <si>
    <r>
      <t xml:space="preserve">Approximation for the Length of claiming zone = </t>
    </r>
    <r>
      <rPr>
        <b/>
        <sz val="11"/>
        <color theme="1"/>
        <rFont val="Calibri"/>
        <family val="2"/>
        <scheme val="minor"/>
      </rPr>
      <t>L</t>
    </r>
    <r>
      <rPr>
        <b/>
        <vertAlign val="subscript"/>
        <sz val="11"/>
        <color theme="1"/>
        <rFont val="Calibri"/>
        <family val="2"/>
        <scheme val="minor"/>
      </rPr>
      <t>weir</t>
    </r>
    <r>
      <rPr>
        <b/>
        <sz val="11"/>
        <color theme="1"/>
        <rFont val="Calibri"/>
        <family val="2"/>
        <scheme val="minor"/>
      </rPr>
      <t xml:space="preserve"> + Clearance</t>
    </r>
  </si>
  <si>
    <r>
      <t xml:space="preserve">Area of the claiming zone = </t>
    </r>
    <r>
      <rPr>
        <b/>
        <sz val="11"/>
        <color theme="1"/>
        <rFont val="Calibri"/>
        <family val="2"/>
        <scheme val="minor"/>
      </rPr>
      <t>2(L</t>
    </r>
    <r>
      <rPr>
        <b/>
        <vertAlign val="subscript"/>
        <sz val="11"/>
        <color theme="1"/>
        <rFont val="Calibri"/>
        <family val="2"/>
        <scheme val="minor"/>
      </rPr>
      <t>cz</t>
    </r>
    <r>
      <rPr>
        <b/>
        <sz val="11"/>
        <color theme="1"/>
        <rFont val="Calibri"/>
        <family val="2"/>
        <scheme val="minor"/>
      </rPr>
      <t xml:space="preserve"> * Clearance)</t>
    </r>
  </si>
  <si>
    <r>
      <t xml:space="preserve">Total Area of perforations = </t>
    </r>
    <r>
      <rPr>
        <b/>
        <sz val="11"/>
        <color theme="1"/>
        <rFont val="Calibri"/>
        <family val="2"/>
        <scheme val="minor"/>
      </rPr>
      <t>A</t>
    </r>
    <r>
      <rPr>
        <b/>
        <vertAlign val="subscript"/>
        <sz val="11"/>
        <color theme="1"/>
        <rFont val="Calibri"/>
        <family val="2"/>
        <scheme val="minor"/>
      </rPr>
      <t>active</t>
    </r>
    <r>
      <rPr>
        <b/>
        <sz val="11"/>
        <color theme="1"/>
        <rFont val="Calibri"/>
        <family val="2"/>
        <scheme val="minor"/>
      </rPr>
      <t xml:space="preserve"> -A</t>
    </r>
    <r>
      <rPr>
        <b/>
        <vertAlign val="subscript"/>
        <sz val="11"/>
        <color theme="1"/>
        <rFont val="Calibri"/>
        <family val="2"/>
        <scheme val="minor"/>
      </rPr>
      <t>strip</t>
    </r>
    <r>
      <rPr>
        <b/>
        <sz val="11"/>
        <color theme="1"/>
        <rFont val="Calibri"/>
        <family val="2"/>
        <scheme val="minor"/>
      </rPr>
      <t xml:space="preserve"> -A</t>
    </r>
    <r>
      <rPr>
        <b/>
        <vertAlign val="subscript"/>
        <sz val="11"/>
        <color theme="1"/>
        <rFont val="Calibri"/>
        <family val="2"/>
        <scheme val="minor"/>
      </rPr>
      <t>cz</t>
    </r>
  </si>
  <si>
    <r>
      <t xml:space="preserve">Area of one hole = </t>
    </r>
    <r>
      <rPr>
        <b/>
        <sz val="11"/>
        <color theme="1"/>
        <rFont val="Calibri"/>
        <family val="2"/>
        <scheme val="minor"/>
      </rPr>
      <t>D</t>
    </r>
    <r>
      <rPr>
        <b/>
        <vertAlign val="subscript"/>
        <sz val="11"/>
        <color theme="1"/>
        <rFont val="Calibri"/>
        <family val="2"/>
        <scheme val="minor"/>
      </rPr>
      <t>hole</t>
    </r>
    <r>
      <rPr>
        <b/>
        <sz val="11"/>
        <color theme="1"/>
        <rFont val="Calibri"/>
        <family val="2"/>
        <scheme val="minor"/>
      </rPr>
      <t>^2*Pi/4</t>
    </r>
  </si>
  <si>
    <r>
      <t xml:space="preserve">Total number of active holes = </t>
    </r>
    <r>
      <rPr>
        <b/>
        <sz val="11"/>
        <color theme="1"/>
        <rFont val="Calibri"/>
        <family val="2"/>
        <scheme val="minor"/>
      </rPr>
      <t>A</t>
    </r>
    <r>
      <rPr>
        <b/>
        <vertAlign val="subscript"/>
        <sz val="11"/>
        <color theme="1"/>
        <rFont val="Calibri"/>
        <family val="2"/>
        <scheme val="minor"/>
      </rPr>
      <t>active</t>
    </r>
    <r>
      <rPr>
        <b/>
        <sz val="11"/>
        <color theme="1"/>
        <rFont val="Calibri"/>
        <family val="2"/>
        <scheme val="minor"/>
      </rPr>
      <t xml:space="preserve"> / Area one hole</t>
    </r>
  </si>
  <si>
    <r>
      <t>L</t>
    </r>
    <r>
      <rPr>
        <vertAlign val="subscript"/>
        <sz val="11"/>
        <color theme="1"/>
        <rFont val="Calibri"/>
        <family val="2"/>
      </rPr>
      <t>h</t>
    </r>
  </si>
  <si>
    <t>Downcomer hole length</t>
  </si>
  <si>
    <t>P</t>
  </si>
  <si>
    <t>barg</t>
  </si>
  <si>
    <t>S</t>
  </si>
  <si>
    <t>bar</t>
  </si>
  <si>
    <t>E</t>
  </si>
  <si>
    <t>CA</t>
  </si>
  <si>
    <t>Column Diameter</t>
  </si>
  <si>
    <t>Internal Vessel Pressure</t>
  </si>
  <si>
    <t>Maximum Allowable Stress. 1220 for Carbon-Steel Plates</t>
  </si>
  <si>
    <t>Joint Efficiency. Seamless = 1 Otherwise 0.85</t>
  </si>
  <si>
    <t>Corrosion Allowance. For Carbon-Steel = 1.5</t>
  </si>
  <si>
    <t>Minimum Thickness Requird for Shell of the Column.</t>
  </si>
  <si>
    <t>Minimum Thickness Requird for Head of the Column.</t>
  </si>
  <si>
    <t>Table 6.1 - Wall Thickness Calculation</t>
  </si>
  <si>
    <r>
      <t xml:space="preserve">t </t>
    </r>
    <r>
      <rPr>
        <vertAlign val="subscript"/>
        <sz val="11"/>
        <color theme="1"/>
        <rFont val="Calibri"/>
        <family val="2"/>
        <scheme val="minor"/>
      </rPr>
      <t>Shell</t>
    </r>
  </si>
  <si>
    <r>
      <t xml:space="preserve">t </t>
    </r>
    <r>
      <rPr>
        <vertAlign val="subscript"/>
        <sz val="11"/>
        <color theme="1"/>
        <rFont val="Calibri"/>
        <family val="2"/>
        <scheme val="minor"/>
      </rPr>
      <t>Head</t>
    </r>
  </si>
  <si>
    <t>F</t>
  </si>
  <si>
    <r>
      <t xml:space="preserve">D </t>
    </r>
    <r>
      <rPr>
        <vertAlign val="subscript"/>
        <sz val="11"/>
        <color theme="1"/>
        <rFont val="Calibri"/>
        <family val="2"/>
        <scheme val="minor"/>
      </rPr>
      <t>nozzle,in</t>
    </r>
  </si>
  <si>
    <t>Feed molar mass</t>
  </si>
  <si>
    <t>Volumetric rate of the feed</t>
  </si>
  <si>
    <t>Table 6.2 - Nozzles Sizing</t>
  </si>
  <si>
    <r>
      <t xml:space="preserve">V </t>
    </r>
    <r>
      <rPr>
        <vertAlign val="subscript"/>
        <sz val="11"/>
        <color theme="1"/>
        <rFont val="Calibri"/>
        <family val="2"/>
        <scheme val="minor"/>
      </rPr>
      <t>to condenser</t>
    </r>
  </si>
  <si>
    <r>
      <t xml:space="preserve">u </t>
    </r>
    <r>
      <rPr>
        <vertAlign val="subscript"/>
        <sz val="11"/>
        <color theme="1"/>
        <rFont val="Calibri"/>
        <family val="2"/>
        <scheme val="minor"/>
      </rPr>
      <t>Inlet</t>
    </r>
  </si>
  <si>
    <r>
      <t xml:space="preserve">W </t>
    </r>
    <r>
      <rPr>
        <vertAlign val="subscript"/>
        <sz val="11"/>
        <color theme="1"/>
        <rFont val="Calibri"/>
        <family val="2"/>
        <scheme val="minor"/>
      </rPr>
      <t>to condenser</t>
    </r>
  </si>
  <si>
    <r>
      <t xml:space="preserve">D </t>
    </r>
    <r>
      <rPr>
        <vertAlign val="subscript"/>
        <sz val="11"/>
        <color theme="1"/>
        <rFont val="Calibri"/>
        <family val="2"/>
        <scheme val="minor"/>
      </rPr>
      <t>nozzle, condenser</t>
    </r>
  </si>
  <si>
    <r>
      <t xml:space="preserve">u </t>
    </r>
    <r>
      <rPr>
        <vertAlign val="subscript"/>
        <sz val="11"/>
        <color theme="1"/>
        <rFont val="Calibri"/>
        <family val="2"/>
        <scheme val="minor"/>
      </rPr>
      <t>nozzle, condenser</t>
    </r>
  </si>
  <si>
    <r>
      <t xml:space="preserve">L </t>
    </r>
    <r>
      <rPr>
        <vertAlign val="subscript"/>
        <sz val="11"/>
        <color theme="1"/>
        <rFont val="Calibri"/>
        <family val="2"/>
        <scheme val="minor"/>
      </rPr>
      <t>to reboiler</t>
    </r>
  </si>
  <si>
    <r>
      <t xml:space="preserve">W </t>
    </r>
    <r>
      <rPr>
        <vertAlign val="subscript"/>
        <sz val="11"/>
        <color theme="1"/>
        <rFont val="Calibri"/>
        <family val="2"/>
        <scheme val="minor"/>
      </rPr>
      <t>to reboiler</t>
    </r>
  </si>
  <si>
    <r>
      <t xml:space="preserve">D </t>
    </r>
    <r>
      <rPr>
        <vertAlign val="subscript"/>
        <sz val="11"/>
        <color theme="1"/>
        <rFont val="Calibri"/>
        <family val="2"/>
        <scheme val="minor"/>
      </rPr>
      <t>nozzle, reboiler</t>
    </r>
  </si>
  <si>
    <r>
      <t xml:space="preserve">u </t>
    </r>
    <r>
      <rPr>
        <vertAlign val="subscript"/>
        <sz val="11"/>
        <color theme="1"/>
        <rFont val="Calibri"/>
        <family val="2"/>
        <scheme val="minor"/>
      </rPr>
      <t>nozzle, reboiler</t>
    </r>
  </si>
  <si>
    <t>Molar mass to condenser</t>
  </si>
  <si>
    <t>Molar mass to reboiler</t>
  </si>
  <si>
    <t>Volumetric rate to condenser</t>
  </si>
  <si>
    <t>Volumetric rate to reboiler</t>
  </si>
  <si>
    <t>Estimated nozzle size for condenser</t>
  </si>
  <si>
    <t>Estimated nozzle size for reboiler</t>
  </si>
  <si>
    <t>Estimated nozzle size for feed inlet</t>
  </si>
  <si>
    <t>Feed nozzle velocity</t>
  </si>
  <si>
    <t>Condenser nozzle velocity</t>
  </si>
  <si>
    <t>Reboiler nozzle velocity</t>
  </si>
  <si>
    <r>
      <t xml:space="preserve">D </t>
    </r>
    <r>
      <rPr>
        <vertAlign val="subscript"/>
        <sz val="11"/>
        <color theme="1"/>
        <rFont val="Calibri"/>
        <family val="2"/>
        <scheme val="minor"/>
      </rPr>
      <t>inner, shell</t>
    </r>
  </si>
  <si>
    <r>
      <t xml:space="preserve">L </t>
    </r>
    <r>
      <rPr>
        <vertAlign val="subscript"/>
        <sz val="11"/>
        <color theme="1"/>
        <rFont val="Calibri"/>
        <family val="2"/>
        <scheme val="minor"/>
      </rPr>
      <t>column</t>
    </r>
  </si>
  <si>
    <r>
      <t xml:space="preserve">V </t>
    </r>
    <r>
      <rPr>
        <vertAlign val="subscript"/>
        <sz val="11"/>
        <color theme="1"/>
        <rFont val="Calibri"/>
        <family val="2"/>
        <scheme val="minor"/>
      </rPr>
      <t>wall, shell</t>
    </r>
  </si>
  <si>
    <r>
      <t>m</t>
    </r>
    <r>
      <rPr>
        <vertAlign val="superscript"/>
        <sz val="11"/>
        <color theme="1"/>
        <rFont val="Calibri"/>
        <family val="2"/>
        <scheme val="minor"/>
      </rPr>
      <t>3</t>
    </r>
  </si>
  <si>
    <r>
      <t>kg/m</t>
    </r>
    <r>
      <rPr>
        <vertAlign val="superscript"/>
        <sz val="11"/>
        <color theme="1"/>
        <rFont val="Calibri"/>
        <family val="2"/>
        <scheme val="minor"/>
      </rPr>
      <t>3</t>
    </r>
  </si>
  <si>
    <r>
      <t xml:space="preserve">m </t>
    </r>
    <r>
      <rPr>
        <vertAlign val="subscript"/>
        <sz val="11"/>
        <color theme="1"/>
        <rFont val="Calibri"/>
        <family val="2"/>
        <scheme val="minor"/>
      </rPr>
      <t>shell</t>
    </r>
  </si>
  <si>
    <t>kg</t>
  </si>
  <si>
    <r>
      <t xml:space="preserve">A </t>
    </r>
    <r>
      <rPr>
        <vertAlign val="subscript"/>
        <sz val="11"/>
        <color theme="1"/>
        <rFont val="Calibri"/>
        <family val="2"/>
        <scheme val="minor"/>
      </rPr>
      <t>plate</t>
    </r>
  </si>
  <si>
    <r>
      <t xml:space="preserve">t </t>
    </r>
    <r>
      <rPr>
        <vertAlign val="subscript"/>
        <sz val="11"/>
        <color theme="1"/>
        <rFont val="Calibri"/>
        <family val="2"/>
        <scheme val="minor"/>
      </rPr>
      <t>plate</t>
    </r>
  </si>
  <si>
    <r>
      <t xml:space="preserve">V </t>
    </r>
    <r>
      <rPr>
        <vertAlign val="subscript"/>
        <sz val="11"/>
        <color theme="1"/>
        <rFont val="Calibri"/>
        <family val="2"/>
        <scheme val="minor"/>
      </rPr>
      <t>plate</t>
    </r>
  </si>
  <si>
    <r>
      <t xml:space="preserve">m </t>
    </r>
    <r>
      <rPr>
        <vertAlign val="subscript"/>
        <sz val="11"/>
        <color theme="1"/>
        <rFont val="Calibri"/>
        <family val="2"/>
        <scheme val="minor"/>
      </rPr>
      <t>plates</t>
    </r>
  </si>
  <si>
    <r>
      <t xml:space="preserve">V </t>
    </r>
    <r>
      <rPr>
        <vertAlign val="subscript"/>
        <sz val="11"/>
        <color theme="1"/>
        <rFont val="Calibri"/>
        <family val="2"/>
        <scheme val="minor"/>
      </rPr>
      <t>head</t>
    </r>
  </si>
  <si>
    <r>
      <t xml:space="preserve">m </t>
    </r>
    <r>
      <rPr>
        <vertAlign val="subscript"/>
        <sz val="11"/>
        <color theme="1"/>
        <rFont val="Calibri"/>
        <family val="2"/>
        <scheme val="minor"/>
      </rPr>
      <t>heads</t>
    </r>
  </si>
  <si>
    <r>
      <rPr>
        <sz val="11"/>
        <color theme="1"/>
        <rFont val="Calibri"/>
        <family val="2"/>
      </rPr>
      <t xml:space="preserve">ρ </t>
    </r>
    <r>
      <rPr>
        <vertAlign val="subscript"/>
        <sz val="11"/>
        <color theme="1"/>
        <rFont val="Calibri"/>
        <family val="2"/>
      </rPr>
      <t>cs</t>
    </r>
  </si>
  <si>
    <r>
      <t xml:space="preserve">A </t>
    </r>
    <r>
      <rPr>
        <vertAlign val="subscript"/>
        <sz val="11"/>
        <color theme="1"/>
        <rFont val="Calibri"/>
        <family val="2"/>
        <scheme val="minor"/>
      </rPr>
      <t>weir wall</t>
    </r>
  </si>
  <si>
    <t>m2</t>
  </si>
  <si>
    <r>
      <t xml:space="preserve">V </t>
    </r>
    <r>
      <rPr>
        <vertAlign val="subscript"/>
        <sz val="11"/>
        <color theme="1"/>
        <rFont val="Calibri"/>
        <family val="2"/>
        <scheme val="minor"/>
      </rPr>
      <t>weir wall</t>
    </r>
  </si>
  <si>
    <r>
      <t xml:space="preserve">m </t>
    </r>
    <r>
      <rPr>
        <vertAlign val="subscript"/>
        <sz val="11"/>
        <color theme="1"/>
        <rFont val="Calibri"/>
        <family val="2"/>
        <scheme val="minor"/>
      </rPr>
      <t>weir wall</t>
    </r>
  </si>
  <si>
    <r>
      <t xml:space="preserve">m </t>
    </r>
    <r>
      <rPr>
        <vertAlign val="subscript"/>
        <sz val="11"/>
        <color theme="1"/>
        <rFont val="Calibri"/>
        <family val="2"/>
        <scheme val="minor"/>
      </rPr>
      <t>other</t>
    </r>
  </si>
  <si>
    <r>
      <t xml:space="preserve">m </t>
    </r>
    <r>
      <rPr>
        <vertAlign val="subscript"/>
        <sz val="11"/>
        <color theme="1"/>
        <rFont val="Calibri"/>
        <family val="2"/>
        <scheme val="minor"/>
      </rPr>
      <t>column</t>
    </r>
  </si>
  <si>
    <t>Shell and heads thickness</t>
  </si>
  <si>
    <t>Inner diameter of the shell</t>
  </si>
  <si>
    <t>Total length of the column (obtained as mentioned in text)</t>
  </si>
  <si>
    <t>Density of the material (Carbon-Steel)</t>
  </si>
  <si>
    <t>Weight of the shell</t>
  </si>
  <si>
    <t>Tray Area (Downcomer and hole areas excluded)</t>
  </si>
  <si>
    <t xml:space="preserve">Plate thickness </t>
  </si>
  <si>
    <t>Weight of 7 trays</t>
  </si>
  <si>
    <t>Weight of the 2 heads</t>
  </si>
  <si>
    <t>Weir wall Area</t>
  </si>
  <si>
    <t>Volume of the shell wall</t>
  </si>
  <si>
    <t>Volume of one plate</t>
  </si>
  <si>
    <t>Volume of 1 weir wall</t>
  </si>
  <si>
    <t>Volume of one head</t>
  </si>
  <si>
    <t>Weight of 6 weir walls</t>
  </si>
  <si>
    <t>Flanches, manway, nozzles</t>
  </si>
  <si>
    <t>Total column weight</t>
  </si>
  <si>
    <t>Table 6.3 - Weight Calculation</t>
  </si>
  <si>
    <t>Part</t>
  </si>
  <si>
    <t>Weight (kg)</t>
  </si>
  <si>
    <t>Shell</t>
  </si>
  <si>
    <t>Plates</t>
  </si>
  <si>
    <t>Heads</t>
  </si>
  <si>
    <t>Weir wall</t>
  </si>
  <si>
    <t>Other</t>
  </si>
  <si>
    <t>Table 6.4 - Weight summerize</t>
  </si>
  <si>
    <r>
      <t xml:space="preserve">C </t>
    </r>
    <r>
      <rPr>
        <vertAlign val="subscript"/>
        <sz val="11"/>
        <color theme="1"/>
        <rFont val="Calibri"/>
        <family val="2"/>
        <scheme val="minor"/>
      </rPr>
      <t>column</t>
    </r>
  </si>
  <si>
    <t>USD</t>
  </si>
  <si>
    <r>
      <t xml:space="preserve">C </t>
    </r>
    <r>
      <rPr>
        <vertAlign val="subscript"/>
        <sz val="11"/>
        <color theme="1"/>
        <rFont val="Calibri"/>
        <family val="2"/>
        <scheme val="minor"/>
      </rPr>
      <t>tray</t>
    </r>
  </si>
  <si>
    <t>Cost of one tray</t>
  </si>
  <si>
    <t>Cost of shell</t>
  </si>
  <si>
    <t>Column diameter</t>
  </si>
  <si>
    <t>Shell weight</t>
  </si>
  <si>
    <r>
      <t xml:space="preserve">C </t>
    </r>
    <r>
      <rPr>
        <vertAlign val="subscript"/>
        <sz val="11"/>
        <color theme="1"/>
        <rFont val="Calibri"/>
        <family val="2"/>
        <scheme val="minor"/>
      </rPr>
      <t>other</t>
    </r>
  </si>
  <si>
    <t>Cost of the other parts, such as flanches, nozzles, etc</t>
  </si>
  <si>
    <r>
      <t xml:space="preserve">C </t>
    </r>
    <r>
      <rPr>
        <vertAlign val="subscript"/>
        <sz val="11"/>
        <color theme="1"/>
        <rFont val="Calibri"/>
        <family val="2"/>
        <scheme val="minor"/>
      </rPr>
      <t>total</t>
    </r>
  </si>
  <si>
    <t>Total cost</t>
  </si>
  <si>
    <t>Table 7.1 - Cost Estimation</t>
  </si>
  <si>
    <t>Year</t>
  </si>
  <si>
    <t>Index</t>
  </si>
  <si>
    <t>Cost</t>
  </si>
  <si>
    <t>Table 7.2 - Cost at 2022</t>
  </si>
  <si>
    <r>
      <t xml:space="preserve">u </t>
    </r>
    <r>
      <rPr>
        <b/>
        <vertAlign val="subscript"/>
        <sz val="11"/>
        <color theme="0"/>
        <rFont val="Calibri"/>
        <family val="2"/>
        <scheme val="minor"/>
      </rPr>
      <t>h</t>
    </r>
    <r>
      <rPr>
        <b/>
        <sz val="11"/>
        <color theme="0"/>
        <rFont val="Calibri"/>
        <family val="2"/>
        <scheme val="minor"/>
      </rPr>
      <t xml:space="preserve"> (Min) (m/s)</t>
    </r>
  </si>
  <si>
    <r>
      <t>u</t>
    </r>
    <r>
      <rPr>
        <b/>
        <vertAlign val="subscript"/>
        <sz val="11"/>
        <color theme="0"/>
        <rFont val="Calibri"/>
        <family val="2"/>
        <scheme val="minor"/>
      </rPr>
      <t>h,actual</t>
    </r>
    <r>
      <rPr>
        <b/>
        <sz val="11"/>
        <color theme="0"/>
        <rFont val="Calibri"/>
        <family val="2"/>
        <scheme val="minor"/>
      </rPr>
      <t xml:space="preserve"> (Min) (m/s)</t>
    </r>
  </si>
  <si>
    <t>Turndown Ratio</t>
  </si>
  <si>
    <t>Final Choise</t>
  </si>
  <si>
    <t>Column Diamater: 36 inch</t>
  </si>
  <si>
    <t>Tray Spacing: 24 inch</t>
  </si>
  <si>
    <t>Hole Area: 13%</t>
  </si>
  <si>
    <t>Downcomer Area: 14%</t>
  </si>
  <si>
    <r>
      <t>m</t>
    </r>
    <r>
      <rPr>
        <vertAlign val="superscript"/>
        <sz val="11"/>
        <color theme="1"/>
        <rFont val="Calibri"/>
        <family val="2"/>
        <scheme val="minor"/>
      </rPr>
      <t>3</t>
    </r>
    <r>
      <rPr>
        <sz val="11"/>
        <color theme="1"/>
        <rFont val="Calibri"/>
        <family val="2"/>
        <scheme val="minor"/>
      </rPr>
      <t>/s</t>
    </r>
  </si>
  <si>
    <t>6 inch tray spacing</t>
  </si>
  <si>
    <t>9 inch tray spacing</t>
  </si>
  <si>
    <t>12 inch tray spacing</t>
  </si>
  <si>
    <t>18 inch tray spacing</t>
  </si>
  <si>
    <t>24 inch tray spacing</t>
  </si>
  <si>
    <t>36 inch tray spacing</t>
  </si>
  <si>
    <r>
      <rPr>
        <sz val="11"/>
        <color theme="1"/>
        <rFont val="Calibri"/>
        <family val="2"/>
      </rPr>
      <t>ρ</t>
    </r>
    <r>
      <rPr>
        <vertAlign val="subscript"/>
        <sz val="11"/>
        <color theme="1"/>
        <rFont val="Calibri"/>
        <family val="2"/>
      </rPr>
      <t>L</t>
    </r>
  </si>
  <si>
    <r>
      <t>ρ</t>
    </r>
    <r>
      <rPr>
        <vertAlign val="subscript"/>
        <sz val="11"/>
        <color theme="1"/>
        <rFont val="Calibri"/>
        <family val="2"/>
        <scheme val="minor"/>
      </rPr>
      <t>V</t>
    </r>
  </si>
  <si>
    <t>σ</t>
  </si>
  <si>
    <t>Table 3.3 - Validating Assumptions By Checking Weeping; Column Diameter 32 inch, 7th tray</t>
  </si>
  <si>
    <t>Table 3.4 - Validating Assumptions By Checking Weeping; Column Diameter 36 inch, 7th tray</t>
  </si>
  <si>
    <t>Table 3.5 - Validating Assumptions By Checking Weeping; Column Diameter 40 inch, 7th tray</t>
  </si>
  <si>
    <t>Table 3.6 - Validating Assumptions By Checking Weeping; Column Diameter 46 inch, 7th tray</t>
  </si>
  <si>
    <t>Parameters</t>
  </si>
  <si>
    <t>Tray Spacing</t>
  </si>
  <si>
    <r>
      <t xml:space="preserve">H </t>
    </r>
    <r>
      <rPr>
        <vertAlign val="subscript"/>
        <sz val="11"/>
        <color theme="1"/>
        <rFont val="Calibri"/>
        <family val="2"/>
        <scheme val="minor"/>
      </rPr>
      <t>column</t>
    </r>
  </si>
  <si>
    <t>Material</t>
  </si>
  <si>
    <t>TurnDown Ratio</t>
  </si>
  <si>
    <t>Reflux Ratio</t>
  </si>
  <si>
    <r>
      <t xml:space="preserve">t </t>
    </r>
    <r>
      <rPr>
        <vertAlign val="subscript"/>
        <sz val="11"/>
        <color theme="1"/>
        <rFont val="Calibri"/>
        <family val="2"/>
        <scheme val="minor"/>
      </rPr>
      <t>shell, Min</t>
    </r>
  </si>
  <si>
    <r>
      <t xml:space="preserve">P </t>
    </r>
    <r>
      <rPr>
        <vertAlign val="subscript"/>
        <sz val="11"/>
        <color theme="1"/>
        <rFont val="Calibri"/>
        <family val="2"/>
        <scheme val="minor"/>
      </rPr>
      <t>internal</t>
    </r>
  </si>
  <si>
    <t>Maximum allowable pressure</t>
  </si>
  <si>
    <t>Joint effieciency</t>
  </si>
  <si>
    <t>Internal vessel pressure</t>
  </si>
  <si>
    <r>
      <t xml:space="preserve">t </t>
    </r>
    <r>
      <rPr>
        <vertAlign val="subscript"/>
        <sz val="11"/>
        <color theme="1"/>
        <rFont val="Calibri"/>
        <family val="2"/>
        <scheme val="minor"/>
      </rPr>
      <t>shell, head</t>
    </r>
  </si>
  <si>
    <t>Hole Pitch</t>
  </si>
  <si>
    <t>Distance between 2 hole centers; Set to this value after trying different layouts</t>
  </si>
  <si>
    <r>
      <t xml:space="preserve">N </t>
    </r>
    <r>
      <rPr>
        <vertAlign val="subscript"/>
        <sz val="11"/>
        <color theme="1"/>
        <rFont val="Calibri"/>
        <family val="2"/>
        <scheme val="minor"/>
      </rPr>
      <t>Holes</t>
    </r>
  </si>
  <si>
    <t>Number of holes</t>
  </si>
  <si>
    <t>Total active hole area</t>
  </si>
  <si>
    <r>
      <t xml:space="preserve">A </t>
    </r>
    <r>
      <rPr>
        <vertAlign val="subscript"/>
        <sz val="11"/>
        <color theme="1"/>
        <rFont val="Calibri"/>
        <family val="2"/>
        <scheme val="minor"/>
      </rPr>
      <t>Active</t>
    </r>
  </si>
  <si>
    <t>Plate thickness</t>
  </si>
  <si>
    <t>Plate Type</t>
  </si>
  <si>
    <t>Sieve</t>
  </si>
  <si>
    <r>
      <t>Δ</t>
    </r>
    <r>
      <rPr>
        <sz val="8.8000000000000007"/>
        <color theme="1"/>
        <rFont val="Calibri"/>
        <family val="2"/>
      </rPr>
      <t>P tray 1</t>
    </r>
  </si>
  <si>
    <r>
      <t>Δ</t>
    </r>
    <r>
      <rPr>
        <sz val="8.8000000000000007"/>
        <color theme="1"/>
        <rFont val="Calibri"/>
        <family val="2"/>
      </rPr>
      <t>P tray 4</t>
    </r>
  </si>
  <si>
    <r>
      <t>Δ</t>
    </r>
    <r>
      <rPr>
        <sz val="8.8000000000000007"/>
        <color theme="1"/>
        <rFont val="Calibri"/>
        <family val="2"/>
      </rPr>
      <t>P tray 7</t>
    </r>
  </si>
  <si>
    <r>
      <t xml:space="preserve">h </t>
    </r>
    <r>
      <rPr>
        <vertAlign val="subscript"/>
        <sz val="11"/>
        <color theme="1"/>
        <rFont val="Calibri"/>
        <family val="2"/>
      </rPr>
      <t>weir</t>
    </r>
  </si>
  <si>
    <t>Space between plates</t>
  </si>
  <si>
    <r>
      <t xml:space="preserve">t </t>
    </r>
    <r>
      <rPr>
        <vertAlign val="subscript"/>
        <sz val="11"/>
        <color theme="1"/>
        <rFont val="Calibri"/>
        <family val="2"/>
        <scheme val="minor"/>
      </rPr>
      <t>Head,min</t>
    </r>
  </si>
  <si>
    <t>Carbon Steel</t>
  </si>
  <si>
    <t>Total height of the column</t>
  </si>
  <si>
    <t>Inner diameter of the column</t>
  </si>
  <si>
    <t>Minimum required shell thickness</t>
  </si>
  <si>
    <t>Minimum required head thickness</t>
  </si>
  <si>
    <t>Design shell and head tickness</t>
  </si>
  <si>
    <t>Table 8.1 - Mechanical Summery</t>
  </si>
  <si>
    <t>Table 8.2 - Nozzles Sizing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</si>
</sst>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0.00000"/>
    <numFmt numFmtId="165" formatCode="0.000"/>
    <numFmt numFmtId="166" formatCode="0.0000"/>
    <numFmt numFmtId="167" formatCode="_(&quot;$&quot;* #,##0_);_(&quot;$&quot;* \(#,##0\);_(&quot;$&quot;* &quot;-&quot;??_);_(@_)"/>
  </numFmts>
  <fonts count="24" x14ac:knownFonts="1">
    <font>
      <sz val="11"/>
      <color theme="1"/>
      <name val="Calibri"/>
      <family val="2"/>
      <scheme val="minor"/>
    </font>
    <font>
      <b/>
      <sz val="11"/>
      <color theme="0"/>
      <name val="Calibri"/>
      <family val="2"/>
      <scheme val="minor"/>
    </font>
    <font>
      <b/>
      <sz val="12"/>
      <color theme="1"/>
      <name val="Calibri"/>
      <family val="2"/>
      <scheme val="minor"/>
    </font>
    <font>
      <sz val="9"/>
      <color indexed="81"/>
      <name val="Tahoma"/>
      <family val="2"/>
    </font>
    <font>
      <b/>
      <sz val="9"/>
      <color indexed="81"/>
      <name val="Tahoma"/>
      <family val="2"/>
    </font>
    <font>
      <b/>
      <sz val="12"/>
      <color theme="0"/>
      <name val="Calibri"/>
      <family val="2"/>
      <scheme val="minor"/>
    </font>
    <font>
      <vertAlign val="subscript"/>
      <sz val="11"/>
      <color theme="1"/>
      <name val="Calibri"/>
      <family val="2"/>
      <scheme val="minor"/>
    </font>
    <font>
      <b/>
      <vertAlign val="subscript"/>
      <sz val="11"/>
      <color theme="0"/>
      <name val="Calibri"/>
      <family val="2"/>
      <scheme val="minor"/>
    </font>
    <font>
      <b/>
      <vertAlign val="superscript"/>
      <sz val="11"/>
      <color theme="0"/>
      <name val="Calibri"/>
      <family val="2"/>
      <scheme val="minor"/>
    </font>
    <font>
      <vertAlign val="superscript"/>
      <sz val="11"/>
      <color theme="1"/>
      <name val="Calibri"/>
      <family val="2"/>
      <scheme val="minor"/>
    </font>
    <font>
      <sz val="8"/>
      <name val="Calibri"/>
      <family val="2"/>
      <scheme val="minor"/>
    </font>
    <font>
      <sz val="11"/>
      <name val="Calibri"/>
      <family val="2"/>
      <scheme val="minor"/>
    </font>
    <font>
      <sz val="9"/>
      <color indexed="81"/>
      <name val="Tahoma"/>
      <charset val="1"/>
    </font>
    <font>
      <b/>
      <sz val="9"/>
      <color indexed="81"/>
      <name val="Tahoma"/>
      <charset val="1"/>
    </font>
    <font>
      <b/>
      <sz val="11"/>
      <color theme="1"/>
      <name val="Calibri"/>
      <family val="2"/>
      <scheme val="minor"/>
    </font>
    <font>
      <sz val="11"/>
      <color theme="1"/>
      <name val="Calibri"/>
      <family val="2"/>
    </font>
    <font>
      <b/>
      <sz val="11"/>
      <color theme="0"/>
      <name val="Calibri"/>
      <family val="2"/>
    </font>
    <font>
      <b/>
      <sz val="14"/>
      <color theme="0"/>
      <name val="Calibri"/>
      <family val="2"/>
      <scheme val="minor"/>
    </font>
    <font>
      <b/>
      <vertAlign val="subscript"/>
      <sz val="14"/>
      <color theme="0"/>
      <name val="Calibri"/>
      <family val="2"/>
      <scheme val="minor"/>
    </font>
    <font>
      <vertAlign val="subscript"/>
      <sz val="11"/>
      <color theme="1"/>
      <name val="Calibri"/>
      <family val="2"/>
    </font>
    <font>
      <b/>
      <vertAlign val="subscript"/>
      <sz val="11"/>
      <color theme="1"/>
      <name val="Calibri"/>
      <family val="2"/>
      <scheme val="minor"/>
    </font>
    <font>
      <sz val="11"/>
      <color theme="1"/>
      <name val="Calibri"/>
      <family val="2"/>
      <scheme val="minor"/>
    </font>
    <font>
      <sz val="8.8000000000000007"/>
      <color theme="1"/>
      <name val="Calibri"/>
      <family val="2"/>
    </font>
    <font>
      <sz val="12"/>
      <color theme="1"/>
      <name val="Calibri"/>
      <family val="2"/>
      <scheme val="minor"/>
    </font>
  </fonts>
  <fills count="18">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rgb="FF002060"/>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7030A0"/>
        <bgColor indexed="64"/>
      </patternFill>
    </fill>
    <fill>
      <patternFill patternType="solid">
        <fgColor theme="8" tint="-0.249977111117893"/>
        <bgColor indexed="64"/>
      </patternFill>
    </fill>
    <fill>
      <patternFill patternType="solid">
        <fgColor rgb="FF0070C0"/>
        <bgColor indexed="64"/>
      </patternFill>
    </fill>
    <fill>
      <patternFill patternType="solid">
        <fgColor theme="4" tint="-0.249977111117893"/>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rgb="FFFF5050"/>
        <bgColor indexed="64"/>
      </patternFill>
    </fill>
    <fill>
      <patternFill patternType="solid">
        <fgColor theme="8" tint="-0.499984740745262"/>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rgb="FFCC00CC"/>
        <bgColor indexed="64"/>
      </patternFill>
    </fill>
  </fills>
  <borders count="7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theme="4"/>
      </right>
      <top style="thin">
        <color indexed="64"/>
      </top>
      <bottom/>
      <diagonal/>
    </border>
    <border>
      <left style="thin">
        <color indexed="64"/>
      </left>
      <right style="thin">
        <color theme="4"/>
      </right>
      <top/>
      <bottom/>
      <diagonal/>
    </border>
    <border>
      <left style="thin">
        <color indexed="64"/>
      </left>
      <right style="thin">
        <color theme="4"/>
      </right>
      <top/>
      <bottom style="thin">
        <color indexed="64"/>
      </bottom>
      <diagonal/>
    </border>
    <border>
      <left/>
      <right style="thin">
        <color theme="4" tint="0.39997558519241921"/>
      </right>
      <top style="thin">
        <color indexed="64"/>
      </top>
      <bottom/>
      <diagonal/>
    </border>
    <border>
      <left/>
      <right style="thin">
        <color theme="4" tint="0.39997558519241921"/>
      </right>
      <top/>
      <bottom/>
      <diagonal/>
    </border>
    <border>
      <left/>
      <right style="thin">
        <color theme="4" tint="0.39997558519241921"/>
      </right>
      <top/>
      <bottom style="thin">
        <color indexed="64"/>
      </bottom>
      <diagonal/>
    </border>
    <border>
      <left style="thin">
        <color theme="4" tint="0.39997558519241921"/>
      </left>
      <right style="thin">
        <color indexed="64"/>
      </right>
      <top style="thin">
        <color theme="1"/>
      </top>
      <bottom/>
      <diagonal/>
    </border>
    <border>
      <left style="thin">
        <color theme="4" tint="0.39997558519241921"/>
      </left>
      <right style="thin">
        <color indexed="64"/>
      </right>
      <top/>
      <bottom/>
      <diagonal/>
    </border>
    <border>
      <left style="thin">
        <color theme="4" tint="0.39997558519241921"/>
      </left>
      <right style="thin">
        <color indexed="64"/>
      </right>
      <top/>
      <bottom style="thin">
        <color theme="1"/>
      </bottom>
      <diagonal/>
    </border>
    <border>
      <left/>
      <right style="thin">
        <color indexed="64"/>
      </right>
      <top/>
      <bottom style="thin">
        <color theme="1"/>
      </bottom>
      <diagonal/>
    </border>
    <border>
      <left style="thin">
        <color indexed="64"/>
      </left>
      <right/>
      <top style="thin">
        <color indexed="64"/>
      </top>
      <bottom style="thin">
        <color theme="1"/>
      </bottom>
      <diagonal/>
    </border>
    <border>
      <left/>
      <right/>
      <top style="thin">
        <color indexed="64"/>
      </top>
      <bottom style="thin">
        <color theme="1"/>
      </bottom>
      <diagonal/>
    </border>
    <border>
      <left/>
      <right style="thin">
        <color indexed="64"/>
      </right>
      <top style="thin">
        <color indexed="64"/>
      </top>
      <bottom style="thin">
        <color theme="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theme="8" tint="-0.249977111117893"/>
      </left>
      <right style="thin">
        <color theme="8" tint="-0.249977111117893"/>
      </right>
      <top style="thin">
        <color theme="8" tint="-0.249977111117893"/>
      </top>
      <bottom style="thin">
        <color theme="8" tint="-0.249977111117893"/>
      </bottom>
      <diagonal/>
    </border>
    <border>
      <left style="medium">
        <color theme="8" tint="-0.249977111117893"/>
      </left>
      <right style="thin">
        <color theme="8" tint="-0.249977111117893"/>
      </right>
      <top style="medium">
        <color theme="8" tint="-0.249977111117893"/>
      </top>
      <bottom style="thin">
        <color theme="8" tint="-0.249977111117893"/>
      </bottom>
      <diagonal/>
    </border>
    <border>
      <left style="thin">
        <color theme="8" tint="-0.249977111117893"/>
      </left>
      <right style="thin">
        <color theme="8" tint="-0.249977111117893"/>
      </right>
      <top style="medium">
        <color theme="8" tint="-0.249977111117893"/>
      </top>
      <bottom style="thin">
        <color theme="8" tint="-0.249977111117893"/>
      </bottom>
      <diagonal/>
    </border>
    <border>
      <left style="medium">
        <color theme="8" tint="-0.249977111117893"/>
      </left>
      <right style="thin">
        <color theme="8" tint="-0.249977111117893"/>
      </right>
      <top style="thin">
        <color theme="8" tint="-0.249977111117893"/>
      </top>
      <bottom style="thin">
        <color theme="8" tint="-0.249977111117893"/>
      </bottom>
      <diagonal/>
    </border>
    <border>
      <left style="medium">
        <color theme="8" tint="-0.249977111117893"/>
      </left>
      <right style="thin">
        <color theme="8" tint="-0.249977111117893"/>
      </right>
      <top style="thin">
        <color theme="8" tint="-0.249977111117893"/>
      </top>
      <bottom style="medium">
        <color theme="8" tint="-0.249977111117893"/>
      </bottom>
      <diagonal/>
    </border>
    <border>
      <left style="thin">
        <color theme="8" tint="-0.249977111117893"/>
      </left>
      <right style="thin">
        <color theme="8" tint="-0.249977111117893"/>
      </right>
      <top style="thin">
        <color theme="8" tint="-0.249977111117893"/>
      </top>
      <bottom style="medium">
        <color theme="8" tint="-0.249977111117893"/>
      </bottom>
      <diagonal/>
    </border>
    <border>
      <left style="medium">
        <color theme="8" tint="-0.249977111117893"/>
      </left>
      <right/>
      <top style="medium">
        <color theme="8" tint="-0.249977111117893"/>
      </top>
      <bottom style="thin">
        <color indexed="64"/>
      </bottom>
      <diagonal/>
    </border>
    <border>
      <left/>
      <right/>
      <top style="medium">
        <color theme="8" tint="-0.249977111117893"/>
      </top>
      <bottom style="thin">
        <color indexed="64"/>
      </bottom>
      <diagonal/>
    </border>
    <border>
      <left style="medium">
        <color theme="8" tint="-0.249977111117893"/>
      </left>
      <right/>
      <top style="thin">
        <color indexed="64"/>
      </top>
      <bottom/>
      <diagonal/>
    </border>
    <border>
      <left style="medium">
        <color theme="8" tint="-0.249977111117893"/>
      </left>
      <right/>
      <top/>
      <bottom style="medium">
        <color theme="8" tint="-0.249977111117893"/>
      </bottom>
      <diagonal/>
    </border>
    <border>
      <left/>
      <right style="thin">
        <color indexed="64"/>
      </right>
      <top/>
      <bottom style="medium">
        <color theme="8" tint="-0.249977111117893"/>
      </bottom>
      <diagonal/>
    </border>
    <border>
      <left style="thin">
        <color indexed="64"/>
      </left>
      <right/>
      <top/>
      <bottom style="medium">
        <color theme="8" tint="-0.249977111117893"/>
      </bottom>
      <diagonal/>
    </border>
    <border>
      <left/>
      <right/>
      <top style="medium">
        <color theme="8" tint="-0.249977111117893"/>
      </top>
      <bottom/>
      <diagonal/>
    </border>
    <border>
      <left/>
      <right style="medium">
        <color theme="8" tint="-0.249977111117893"/>
      </right>
      <top style="medium">
        <color theme="8" tint="-0.249977111117893"/>
      </top>
      <bottom/>
      <diagonal/>
    </border>
    <border>
      <left style="thin">
        <color theme="8" tint="-0.249977111117893"/>
      </left>
      <right style="thin">
        <color theme="8" tint="-0.249977111117893"/>
      </right>
      <top style="thin">
        <color theme="8" tint="-0.249977111117893"/>
      </top>
      <bottom style="thin">
        <color indexed="64"/>
      </bottom>
      <diagonal/>
    </border>
    <border>
      <left style="thin">
        <color theme="8" tint="-0.249977111117893"/>
      </left>
      <right style="thin">
        <color indexed="64"/>
      </right>
      <top style="thin">
        <color theme="8" tint="-0.249977111117893"/>
      </top>
      <bottom style="thin">
        <color theme="8" tint="-0.249977111117893"/>
      </bottom>
      <diagonal/>
    </border>
    <border>
      <left/>
      <right style="thin">
        <color theme="8" tint="-0.249977111117893"/>
      </right>
      <top style="thin">
        <color theme="8" tint="-0.249977111117893"/>
      </top>
      <bottom style="thin">
        <color indexed="64"/>
      </bottom>
      <diagonal/>
    </border>
    <border>
      <left style="thin">
        <color theme="8" tint="-0.249977111117893"/>
      </left>
      <right style="thin">
        <color indexed="64"/>
      </right>
      <top style="thin">
        <color theme="8" tint="-0.249977111117893"/>
      </top>
      <bottom style="thin">
        <color indexed="64"/>
      </bottom>
      <diagonal/>
    </border>
    <border>
      <left/>
      <right style="thin">
        <color indexed="64"/>
      </right>
      <top style="thin">
        <color indexed="64"/>
      </top>
      <bottom style="medium">
        <color theme="8" tint="-0.249977111117893"/>
      </bottom>
      <diagonal/>
    </border>
    <border>
      <left style="thin">
        <color indexed="64"/>
      </left>
      <right style="thin">
        <color theme="8" tint="-0.249977111117893"/>
      </right>
      <top style="thin">
        <color theme="8" tint="-0.249977111117893"/>
      </top>
      <bottom style="thin">
        <color indexed="64"/>
      </bottom>
      <diagonal/>
    </border>
    <border>
      <left style="thin">
        <color theme="8" tint="-0.249977111117893"/>
      </left>
      <right/>
      <top style="medium">
        <color theme="8" tint="-0.249977111117893"/>
      </top>
      <bottom style="thin">
        <color theme="8" tint="-0.249977111117893"/>
      </bottom>
      <diagonal/>
    </border>
    <border>
      <left style="thin">
        <color theme="8" tint="-0.249977111117893"/>
      </left>
      <right/>
      <top style="thin">
        <color theme="8" tint="-0.249977111117893"/>
      </top>
      <bottom style="thin">
        <color theme="8" tint="-0.249977111117893"/>
      </bottom>
      <diagonal/>
    </border>
    <border>
      <left style="thin">
        <color theme="8" tint="-0.249977111117893"/>
      </left>
      <right/>
      <top style="thin">
        <color theme="8" tint="-0.249977111117893"/>
      </top>
      <bottom style="medium">
        <color theme="8" tint="-0.249977111117893"/>
      </bottom>
      <diagonal/>
    </border>
    <border>
      <left/>
      <right style="medium">
        <color theme="8" tint="-0.249977111117893"/>
      </right>
      <top/>
      <bottom/>
      <diagonal/>
    </border>
    <border>
      <left style="thin">
        <color indexed="64"/>
      </left>
      <right style="thin">
        <color theme="8" tint="-0.249977111117893"/>
      </right>
      <top style="thin">
        <color indexed="64"/>
      </top>
      <bottom style="thin">
        <color theme="8" tint="-0.249977111117893"/>
      </bottom>
      <diagonal/>
    </border>
    <border>
      <left style="thin">
        <color theme="8" tint="-0.249977111117893"/>
      </left>
      <right style="thin">
        <color indexed="64"/>
      </right>
      <top style="thin">
        <color indexed="64"/>
      </top>
      <bottom style="thin">
        <color theme="8" tint="-0.249977111117893"/>
      </bottom>
      <diagonal/>
    </border>
    <border>
      <left style="thin">
        <color indexed="64"/>
      </left>
      <right style="thin">
        <color theme="8" tint="-0.249977111117893"/>
      </right>
      <top style="thin">
        <color theme="8" tint="-0.249977111117893"/>
      </top>
      <bottom style="thin">
        <color theme="8" tint="-0.249977111117893"/>
      </bottom>
      <diagonal/>
    </border>
    <border>
      <left style="thin">
        <color indexed="64"/>
      </left>
      <right style="thin">
        <color theme="8" tint="-0.249977111117893"/>
      </right>
      <top style="thin">
        <color theme="8" tint="-0.249977111117893"/>
      </top>
      <bottom style="medium">
        <color theme="8" tint="-0.249977111117893"/>
      </bottom>
      <diagonal/>
    </border>
    <border>
      <left style="thin">
        <color theme="8" tint="-0.249977111117893"/>
      </left>
      <right style="thin">
        <color indexed="64"/>
      </right>
      <top style="thin">
        <color theme="8" tint="-0.249977111117893"/>
      </top>
      <bottom style="medium">
        <color theme="8" tint="-0.249977111117893"/>
      </bottom>
      <diagonal/>
    </border>
    <border>
      <left style="thin">
        <color indexed="64"/>
      </left>
      <right style="thin">
        <color theme="8" tint="-0.249977111117893"/>
      </right>
      <top style="medium">
        <color theme="8" tint="-0.249977111117893"/>
      </top>
      <bottom style="thin">
        <color theme="8" tint="-0.249977111117893"/>
      </bottom>
      <diagonal/>
    </border>
    <border>
      <left style="thin">
        <color theme="8" tint="-0.249977111117893"/>
      </left>
      <right style="thin">
        <color indexed="64"/>
      </right>
      <top style="medium">
        <color theme="8" tint="-0.249977111117893"/>
      </top>
      <bottom style="thin">
        <color theme="8" tint="-0.249977111117893"/>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style="thin">
        <color indexed="64"/>
      </left>
      <right/>
      <top style="thin">
        <color theme="4" tint="0.39997558519241921"/>
      </top>
      <bottom style="thin">
        <color theme="4" tint="0.39997558519241921"/>
      </bottom>
      <diagonal/>
    </border>
  </borders>
  <cellStyleXfs count="2">
    <xf numFmtId="0" fontId="0" fillId="0" borderId="0"/>
    <xf numFmtId="44" fontId="21" fillId="0" borderId="0" applyFont="0" applyFill="0" applyBorder="0" applyAlignment="0" applyProtection="0"/>
  </cellStyleXfs>
  <cellXfs count="346">
    <xf numFmtId="0" fontId="0" fillId="0" borderId="0" xfId="0"/>
    <xf numFmtId="0" fontId="1" fillId="3" borderId="0" xfId="0" applyFont="1" applyFill="1" applyBorder="1" applyAlignment="1">
      <alignment horizontal="center" vertical="center"/>
    </xf>
    <xf numFmtId="0" fontId="0" fillId="0" borderId="0" xfId="0" applyBorder="1" applyAlignment="1">
      <alignment horizontal="center" vertical="center"/>
    </xf>
    <xf numFmtId="0" fontId="0" fillId="2" borderId="0" xfId="0" applyFill="1" applyBorder="1" applyAlignment="1">
      <alignment horizontal="center" vertical="center"/>
    </xf>
    <xf numFmtId="0" fontId="1" fillId="3" borderId="6" xfId="0" applyFont="1" applyFill="1" applyBorder="1" applyAlignment="1">
      <alignment horizontal="center" vertical="center"/>
    </xf>
    <xf numFmtId="0" fontId="1" fillId="3" borderId="7" xfId="0" applyFont="1" applyFill="1" applyBorder="1" applyAlignment="1">
      <alignment horizontal="center" vertical="center"/>
    </xf>
    <xf numFmtId="0" fontId="0" fillId="0" borderId="6" xfId="0" applyFont="1" applyBorder="1" applyAlignment="1">
      <alignment horizontal="center" vertical="center"/>
    </xf>
    <xf numFmtId="0" fontId="0" fillId="0" borderId="0" xfId="0" applyFont="1" applyBorder="1" applyAlignment="1">
      <alignment horizontal="center" vertical="center"/>
    </xf>
    <xf numFmtId="0" fontId="0" fillId="0" borderId="7" xfId="0" applyFont="1" applyBorder="1" applyAlignment="1">
      <alignment horizontal="center" vertical="center"/>
    </xf>
    <xf numFmtId="0" fontId="2" fillId="0" borderId="6" xfId="0" applyFont="1" applyBorder="1" applyAlignment="1">
      <alignment horizontal="center" vertical="center"/>
    </xf>
    <xf numFmtId="0" fontId="0" fillId="0" borderId="8" xfId="0" applyFont="1" applyBorder="1" applyAlignment="1">
      <alignment horizontal="center" vertical="center"/>
    </xf>
    <xf numFmtId="0" fontId="0" fillId="0" borderId="1" xfId="0" applyFont="1" applyBorder="1" applyAlignment="1">
      <alignment horizontal="center" vertical="center"/>
    </xf>
    <xf numFmtId="0" fontId="0" fillId="0" borderId="9" xfId="0" applyFont="1" applyBorder="1" applyAlignment="1">
      <alignment horizontal="center" vertical="center"/>
    </xf>
    <xf numFmtId="9" fontId="0" fillId="0" borderId="0" xfId="0" applyNumberFormat="1" applyFont="1" applyBorder="1" applyAlignment="1">
      <alignment horizontal="center" vertical="center"/>
    </xf>
    <xf numFmtId="0" fontId="0" fillId="5" borderId="4" xfId="0" applyFill="1" applyBorder="1" applyAlignment="1">
      <alignment horizontal="center" vertical="center"/>
    </xf>
    <xf numFmtId="0" fontId="0" fillId="5" borderId="1" xfId="0" applyFill="1" applyBorder="1" applyAlignment="1">
      <alignment horizontal="center" vertical="center"/>
    </xf>
    <xf numFmtId="0" fontId="0" fillId="2" borderId="4" xfId="0" applyFill="1" applyBorder="1" applyAlignment="1">
      <alignment horizontal="center" vertical="center"/>
    </xf>
    <xf numFmtId="0" fontId="0" fillId="6" borderId="0" xfId="0" applyFill="1" applyBorder="1" applyAlignment="1">
      <alignment horizontal="center" vertical="center"/>
    </xf>
    <xf numFmtId="0" fontId="0" fillId="2" borderId="1" xfId="0" applyFill="1" applyBorder="1" applyAlignment="1">
      <alignment horizontal="center" vertical="center"/>
    </xf>
    <xf numFmtId="164" fontId="0" fillId="0" borderId="0" xfId="0" applyNumberFormat="1" applyBorder="1" applyAlignment="1">
      <alignment horizontal="center" vertical="center"/>
    </xf>
    <xf numFmtId="165" fontId="0" fillId="0" borderId="0" xfId="0" applyNumberFormat="1" applyBorder="1" applyAlignment="1">
      <alignment horizontal="center" vertical="center"/>
    </xf>
    <xf numFmtId="165" fontId="0" fillId="5" borderId="4" xfId="0" applyNumberFormat="1" applyFill="1" applyBorder="1" applyAlignment="1">
      <alignment horizontal="center" vertical="center"/>
    </xf>
    <xf numFmtId="165" fontId="0" fillId="2" borderId="0" xfId="0" applyNumberFormat="1" applyFill="1" applyBorder="1" applyAlignment="1">
      <alignment horizontal="center" vertical="center"/>
    </xf>
    <xf numFmtId="165" fontId="0" fillId="5" borderId="1" xfId="0" applyNumberFormat="1" applyFill="1" applyBorder="1" applyAlignment="1">
      <alignment horizontal="center" vertical="center"/>
    </xf>
    <xf numFmtId="165" fontId="0" fillId="2" borderId="4" xfId="0" applyNumberFormat="1" applyFill="1" applyBorder="1" applyAlignment="1">
      <alignment horizontal="center" vertical="center"/>
    </xf>
    <xf numFmtId="165" fontId="0" fillId="6" borderId="0" xfId="0" applyNumberFormat="1" applyFill="1" applyBorder="1" applyAlignment="1">
      <alignment horizontal="center" vertical="center"/>
    </xf>
    <xf numFmtId="165" fontId="0" fillId="2" borderId="1" xfId="0" applyNumberFormat="1" applyFill="1" applyBorder="1" applyAlignment="1">
      <alignment horizontal="center" vertical="center"/>
    </xf>
    <xf numFmtId="1" fontId="0" fillId="0" borderId="0" xfId="0" applyNumberFormat="1" applyBorder="1" applyAlignment="1">
      <alignment horizontal="center" vertical="center"/>
    </xf>
    <xf numFmtId="164" fontId="1" fillId="7" borderId="0" xfId="0" applyNumberFormat="1" applyFont="1" applyFill="1" applyBorder="1" applyAlignment="1">
      <alignment horizontal="center" vertical="center"/>
    </xf>
    <xf numFmtId="165" fontId="1" fillId="7" borderId="0" xfId="0" applyNumberFormat="1" applyFont="1" applyFill="1" applyBorder="1" applyAlignment="1">
      <alignment horizontal="center" vertical="center"/>
    </xf>
    <xf numFmtId="165" fontId="0" fillId="5" borderId="13" xfId="0" applyNumberFormat="1" applyFill="1" applyBorder="1" applyAlignment="1">
      <alignment horizontal="center" vertical="center"/>
    </xf>
    <xf numFmtId="165" fontId="0" fillId="2" borderId="14" xfId="0" applyNumberFormat="1" applyFill="1" applyBorder="1" applyAlignment="1">
      <alignment horizontal="center" vertical="center"/>
    </xf>
    <xf numFmtId="165" fontId="0" fillId="5" borderId="15" xfId="0" applyNumberFormat="1" applyFill="1" applyBorder="1" applyAlignment="1">
      <alignment horizontal="center" vertical="center"/>
    </xf>
    <xf numFmtId="165" fontId="0" fillId="2" borderId="13" xfId="0" applyNumberFormat="1" applyFill="1" applyBorder="1" applyAlignment="1">
      <alignment horizontal="center" vertical="center"/>
    </xf>
    <xf numFmtId="165" fontId="0" fillId="6" borderId="14" xfId="0" applyNumberFormat="1" applyFill="1" applyBorder="1" applyAlignment="1">
      <alignment horizontal="center" vertical="center"/>
    </xf>
    <xf numFmtId="165" fontId="0" fillId="2" borderId="15" xfId="0" applyNumberFormat="1" applyFill="1" applyBorder="1" applyAlignment="1">
      <alignment horizontal="center" vertical="center"/>
    </xf>
    <xf numFmtId="0" fontId="0" fillId="0" borderId="0" xfId="0" applyAlignment="1">
      <alignment horizontal="center" vertical="center"/>
    </xf>
    <xf numFmtId="0" fontId="0" fillId="8" borderId="0" xfId="0" applyFill="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165" fontId="0" fillId="0" borderId="7" xfId="0" applyNumberFormat="1" applyBorder="1" applyAlignment="1">
      <alignment horizontal="center" vertical="center"/>
    </xf>
    <xf numFmtId="165" fontId="0" fillId="0" borderId="1" xfId="0" applyNumberFormat="1" applyBorder="1" applyAlignment="1">
      <alignment horizontal="center" vertical="center"/>
    </xf>
    <xf numFmtId="0" fontId="0" fillId="5" borderId="6" xfId="0" applyFill="1" applyBorder="1" applyAlignment="1">
      <alignment horizontal="center" vertical="center"/>
    </xf>
    <xf numFmtId="165" fontId="0" fillId="5" borderId="0" xfId="0" applyNumberFormat="1" applyFill="1" applyBorder="1" applyAlignment="1">
      <alignment horizontal="center" vertical="center"/>
    </xf>
    <xf numFmtId="165" fontId="0" fillId="5" borderId="7" xfId="0" applyNumberFormat="1" applyFill="1" applyBorder="1" applyAlignment="1">
      <alignment horizontal="center" vertical="center"/>
    </xf>
    <xf numFmtId="0" fontId="0" fillId="6" borderId="8" xfId="0" applyFill="1" applyBorder="1" applyAlignment="1">
      <alignment horizontal="center" vertical="center"/>
    </xf>
    <xf numFmtId="165" fontId="0" fillId="6" borderId="1" xfId="0" applyNumberFormat="1" applyFill="1"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165" fontId="0" fillId="0" borderId="4" xfId="0" applyNumberFormat="1" applyBorder="1" applyAlignment="1">
      <alignment horizontal="center" vertical="center"/>
    </xf>
    <xf numFmtId="165" fontId="0" fillId="0" borderId="5" xfId="0" applyNumberFormat="1" applyBorder="1" applyAlignment="1">
      <alignment horizontal="center" vertical="center"/>
    </xf>
    <xf numFmtId="0" fontId="0" fillId="6" borderId="3" xfId="0" applyFill="1" applyBorder="1" applyAlignment="1">
      <alignment horizontal="center" vertical="center"/>
    </xf>
    <xf numFmtId="165" fontId="0" fillId="6" borderId="4" xfId="0" applyNumberFormat="1" applyFill="1" applyBorder="1" applyAlignment="1">
      <alignment horizontal="center" vertical="center"/>
    </xf>
    <xf numFmtId="165" fontId="0" fillId="6" borderId="5" xfId="0" applyNumberFormat="1" applyFill="1" applyBorder="1" applyAlignment="1">
      <alignment horizontal="center" vertical="center"/>
    </xf>
    <xf numFmtId="165" fontId="1" fillId="7" borderId="9" xfId="0" applyNumberFormat="1" applyFont="1" applyFill="1" applyBorder="1" applyAlignment="1">
      <alignment horizontal="center" vertical="center"/>
    </xf>
    <xf numFmtId="2" fontId="0" fillId="0" borderId="6" xfId="0" applyNumberFormat="1" applyBorder="1" applyAlignment="1">
      <alignment horizontal="center" vertical="center"/>
    </xf>
    <xf numFmtId="2" fontId="0" fillId="0" borderId="7" xfId="0" applyNumberFormat="1" applyBorder="1" applyAlignment="1">
      <alignment horizontal="center" vertical="center"/>
    </xf>
    <xf numFmtId="166" fontId="0" fillId="0" borderId="6" xfId="0" applyNumberFormat="1" applyBorder="1" applyAlignment="1">
      <alignment horizontal="center" vertical="center"/>
    </xf>
    <xf numFmtId="2" fontId="0" fillId="0" borderId="8" xfId="0" applyNumberFormat="1" applyBorder="1" applyAlignment="1">
      <alignment horizontal="center" vertical="center"/>
    </xf>
    <xf numFmtId="2" fontId="0" fillId="0" borderId="9" xfId="0" applyNumberFormat="1" applyBorder="1" applyAlignment="1">
      <alignment horizontal="center" vertical="center"/>
    </xf>
    <xf numFmtId="166" fontId="0" fillId="0" borderId="8" xfId="0" applyNumberFormat="1" applyBorder="1" applyAlignment="1">
      <alignment horizontal="center" vertical="center"/>
    </xf>
    <xf numFmtId="0" fontId="0" fillId="9" borderId="24" xfId="0" applyFill="1" applyBorder="1" applyAlignment="1">
      <alignment horizontal="center" vertical="center"/>
    </xf>
    <xf numFmtId="0" fontId="0" fillId="9" borderId="23" xfId="0" applyFill="1" applyBorder="1" applyAlignment="1">
      <alignment horizontal="center" vertical="center"/>
    </xf>
    <xf numFmtId="0" fontId="1" fillId="10" borderId="6" xfId="0" applyFont="1" applyFill="1" applyBorder="1" applyAlignment="1">
      <alignment horizontal="center" vertical="center"/>
    </xf>
    <xf numFmtId="0" fontId="0" fillId="0" borderId="25" xfId="0" applyBorder="1" applyAlignment="1">
      <alignment horizontal="center" vertical="center"/>
    </xf>
    <xf numFmtId="165" fontId="0" fillId="0" borderId="25" xfId="0" applyNumberFormat="1" applyBorder="1" applyAlignment="1">
      <alignment horizontal="center" vertical="center"/>
    </xf>
    <xf numFmtId="0" fontId="0" fillId="11" borderId="25" xfId="0" applyFill="1" applyBorder="1" applyAlignment="1">
      <alignment horizontal="center" vertical="center"/>
    </xf>
    <xf numFmtId="165" fontId="0" fillId="11" borderId="25" xfId="0" applyNumberFormat="1" applyFill="1" applyBorder="1" applyAlignment="1">
      <alignment horizontal="center" vertical="center"/>
    </xf>
    <xf numFmtId="0" fontId="0" fillId="0" borderId="27" xfId="0" applyBorder="1" applyAlignment="1">
      <alignment horizontal="center" vertical="center"/>
    </xf>
    <xf numFmtId="165" fontId="0" fillId="0" borderId="27" xfId="0" applyNumberFormat="1" applyBorder="1" applyAlignment="1">
      <alignment horizontal="center" vertical="center"/>
    </xf>
    <xf numFmtId="0" fontId="0" fillId="0" borderId="30" xfId="0" applyBorder="1" applyAlignment="1">
      <alignment horizontal="center" vertical="center"/>
    </xf>
    <xf numFmtId="165" fontId="0" fillId="0" borderId="30" xfId="0" applyNumberFormat="1" applyBorder="1" applyAlignment="1">
      <alignment horizontal="center" vertical="center"/>
    </xf>
    <xf numFmtId="0" fontId="0" fillId="12" borderId="27" xfId="0" applyFill="1" applyBorder="1" applyAlignment="1">
      <alignment horizontal="center" vertical="center"/>
    </xf>
    <xf numFmtId="165" fontId="0" fillId="12" borderId="27" xfId="0" applyNumberFormat="1" applyFill="1" applyBorder="1" applyAlignment="1">
      <alignment horizontal="center" vertical="center"/>
    </xf>
    <xf numFmtId="0" fontId="0" fillId="12" borderId="30" xfId="0" applyFill="1" applyBorder="1" applyAlignment="1">
      <alignment horizontal="center" vertical="center"/>
    </xf>
    <xf numFmtId="165" fontId="0" fillId="12" borderId="30" xfId="0" applyNumberFormat="1" applyFill="1" applyBorder="1" applyAlignment="1">
      <alignment horizontal="center" vertical="center"/>
    </xf>
    <xf numFmtId="0" fontId="1" fillId="10" borderId="36" xfId="0" applyFont="1" applyFill="1" applyBorder="1" applyAlignment="1">
      <alignment horizontal="center" vertical="center"/>
    </xf>
    <xf numFmtId="0" fontId="1" fillId="10" borderId="35" xfId="0" applyFont="1" applyFill="1" applyBorder="1" applyAlignment="1">
      <alignment horizontal="center" vertical="center"/>
    </xf>
    <xf numFmtId="0" fontId="1" fillId="10" borderId="43" xfId="0" applyFont="1" applyFill="1" applyBorder="1" applyAlignment="1">
      <alignment horizontal="center" vertical="center"/>
    </xf>
    <xf numFmtId="165" fontId="0" fillId="0" borderId="45" xfId="0" applyNumberFormat="1" applyBorder="1" applyAlignment="1">
      <alignment horizontal="center" vertical="center"/>
    </xf>
    <xf numFmtId="165" fontId="0" fillId="11" borderId="46" xfId="0" applyNumberFormat="1" applyFill="1" applyBorder="1" applyAlignment="1">
      <alignment horizontal="center" vertical="center"/>
    </xf>
    <xf numFmtId="165" fontId="0" fillId="0" borderId="47" xfId="0" applyNumberFormat="1" applyBorder="1" applyAlignment="1">
      <alignment horizontal="center" vertical="center"/>
    </xf>
    <xf numFmtId="165" fontId="0" fillId="12" borderId="45" xfId="0" applyNumberFormat="1" applyFill="1" applyBorder="1" applyAlignment="1">
      <alignment horizontal="center" vertical="center"/>
    </xf>
    <xf numFmtId="165" fontId="0" fillId="0" borderId="46" xfId="0" applyNumberFormat="1" applyBorder="1" applyAlignment="1">
      <alignment horizontal="center" vertical="center"/>
    </xf>
    <xf numFmtId="165" fontId="0" fillId="12" borderId="47" xfId="0" applyNumberFormat="1" applyFill="1" applyBorder="1" applyAlignment="1">
      <alignment horizontal="center" vertical="center"/>
    </xf>
    <xf numFmtId="0" fontId="1" fillId="10" borderId="48" xfId="0" applyFont="1" applyFill="1" applyBorder="1" applyAlignment="1">
      <alignment horizontal="center" vertical="center"/>
    </xf>
    <xf numFmtId="165" fontId="0" fillId="0" borderId="50" xfId="0" applyNumberFormat="1" applyBorder="1" applyAlignment="1">
      <alignment horizontal="center" vertical="center"/>
    </xf>
    <xf numFmtId="165" fontId="0" fillId="11" borderId="40" xfId="0" applyNumberFormat="1" applyFill="1" applyBorder="1" applyAlignment="1">
      <alignment horizontal="center" vertical="center"/>
    </xf>
    <xf numFmtId="165" fontId="0" fillId="0" borderId="53" xfId="0" applyNumberFormat="1" applyBorder="1" applyAlignment="1">
      <alignment horizontal="center" vertical="center"/>
    </xf>
    <xf numFmtId="165" fontId="0" fillId="12" borderId="55" xfId="0" applyNumberFormat="1" applyFill="1" applyBorder="1" applyAlignment="1">
      <alignment horizontal="center" vertical="center"/>
    </xf>
    <xf numFmtId="165" fontId="0" fillId="0" borderId="40" xfId="0" applyNumberFormat="1" applyBorder="1" applyAlignment="1">
      <alignment horizontal="center" vertical="center"/>
    </xf>
    <xf numFmtId="165" fontId="0" fillId="12" borderId="53" xfId="0" applyNumberFormat="1" applyFill="1" applyBorder="1" applyAlignment="1">
      <alignment horizontal="center" vertical="center"/>
    </xf>
    <xf numFmtId="165" fontId="0" fillId="0" borderId="55" xfId="0" applyNumberFormat="1" applyBorder="1" applyAlignment="1">
      <alignment horizontal="center" vertical="center"/>
    </xf>
    <xf numFmtId="0" fontId="1" fillId="10" borderId="2" xfId="0" applyFont="1" applyFill="1" applyBorder="1" applyAlignment="1">
      <alignment horizontal="center" vertical="center"/>
    </xf>
    <xf numFmtId="0" fontId="1" fillId="10" borderId="59" xfId="0" applyFont="1" applyFill="1" applyBorder="1" applyAlignment="1">
      <alignment horizontal="center" vertical="center"/>
    </xf>
    <xf numFmtId="0" fontId="1" fillId="10" borderId="60" xfId="0" applyFont="1" applyFill="1" applyBorder="1" applyAlignment="1">
      <alignment horizontal="center" vertical="center"/>
    </xf>
    <xf numFmtId="0" fontId="1" fillId="10" borderId="3" xfId="0" applyFont="1" applyFill="1" applyBorder="1" applyAlignment="1">
      <alignment horizontal="center" vertical="center"/>
    </xf>
    <xf numFmtId="0" fontId="1" fillId="10" borderId="4" xfId="0" applyFont="1" applyFill="1" applyBorder="1" applyAlignment="1">
      <alignment horizontal="center" vertical="center"/>
    </xf>
    <xf numFmtId="0" fontId="1" fillId="10" borderId="0" xfId="0" applyFont="1" applyFill="1" applyBorder="1" applyAlignment="1">
      <alignment horizontal="center" vertical="center"/>
    </xf>
    <xf numFmtId="0" fontId="0" fillId="11" borderId="2" xfId="0" applyFill="1" applyBorder="1" applyAlignment="1">
      <alignment horizontal="center" vertical="center"/>
    </xf>
    <xf numFmtId="0" fontId="0" fillId="12" borderId="2" xfId="0" applyFill="1" applyBorder="1" applyAlignment="1">
      <alignment horizontal="center" vertical="center"/>
    </xf>
    <xf numFmtId="165" fontId="0" fillId="12" borderId="0" xfId="0" applyNumberFormat="1" applyFill="1" applyBorder="1" applyAlignment="1">
      <alignment horizontal="center" vertical="center"/>
    </xf>
    <xf numFmtId="0" fontId="1" fillId="10" borderId="2" xfId="0" applyFont="1" applyFill="1" applyBorder="1" applyAlignment="1">
      <alignment horizontal="center" vertical="center" wrapText="1"/>
    </xf>
    <xf numFmtId="165" fontId="11" fillId="13" borderId="60" xfId="0" applyNumberFormat="1" applyFont="1" applyFill="1" applyBorder="1" applyAlignment="1">
      <alignment horizontal="center" vertical="center"/>
    </xf>
    <xf numFmtId="165" fontId="0" fillId="11" borderId="2" xfId="0" applyNumberFormat="1" applyFill="1" applyBorder="1" applyAlignment="1">
      <alignment horizontal="center" vertical="center"/>
    </xf>
    <xf numFmtId="165" fontId="0" fillId="12" borderId="2" xfId="0" applyNumberFormat="1" applyFill="1" applyBorder="1" applyAlignment="1">
      <alignment horizontal="center" vertical="center"/>
    </xf>
    <xf numFmtId="165" fontId="0" fillId="13" borderId="60" xfId="0" applyNumberFormat="1" applyFill="1" applyBorder="1" applyAlignment="1">
      <alignment horizontal="center" vertical="center"/>
    </xf>
    <xf numFmtId="0" fontId="1" fillId="10" borderId="4" xfId="0" applyFont="1" applyFill="1" applyBorder="1" applyAlignment="1">
      <alignment vertical="center"/>
    </xf>
    <xf numFmtId="165" fontId="0" fillId="12" borderId="62" xfId="0" applyNumberFormat="1" applyFill="1" applyBorder="1" applyAlignment="1">
      <alignment horizontal="center" vertical="center"/>
    </xf>
    <xf numFmtId="165" fontId="11" fillId="13" borderId="63" xfId="0" applyNumberFormat="1" applyFont="1" applyFill="1" applyBorder="1" applyAlignment="1">
      <alignment horizontal="center" vertical="center"/>
    </xf>
    <xf numFmtId="165" fontId="0" fillId="13" borderId="63" xfId="0" applyNumberFormat="1" applyFill="1" applyBorder="1" applyAlignment="1">
      <alignment horizontal="center" vertical="center"/>
    </xf>
    <xf numFmtId="165" fontId="0" fillId="12" borderId="6" xfId="0" applyNumberFormat="1" applyFill="1" applyBorder="1" applyAlignment="1">
      <alignment horizontal="center" vertical="center"/>
    </xf>
    <xf numFmtId="165" fontId="0" fillId="12" borderId="7" xfId="0" applyNumberFormat="1" applyFill="1" applyBorder="1" applyAlignment="1">
      <alignment horizontal="center" vertical="center"/>
    </xf>
    <xf numFmtId="165" fontId="0" fillId="12" borderId="9" xfId="0" applyNumberFormat="1" applyFill="1" applyBorder="1" applyAlignment="1">
      <alignment horizontal="center" vertical="center"/>
    </xf>
    <xf numFmtId="165" fontId="0" fillId="12" borderId="4" xfId="0" applyNumberFormat="1" applyFill="1" applyBorder="1" applyAlignment="1">
      <alignment horizontal="center" vertical="center"/>
    </xf>
    <xf numFmtId="0" fontId="0" fillId="2" borderId="2" xfId="0" applyFill="1" applyBorder="1" applyAlignment="1">
      <alignment horizontal="center" vertical="center"/>
    </xf>
    <xf numFmtId="165" fontId="0" fillId="2" borderId="7" xfId="0" applyNumberFormat="1" applyFill="1" applyBorder="1" applyAlignment="1">
      <alignment horizontal="center" vertical="center"/>
    </xf>
    <xf numFmtId="165" fontId="0" fillId="2" borderId="9" xfId="0" applyNumberFormat="1" applyFill="1" applyBorder="1" applyAlignment="1">
      <alignment horizontal="center" vertical="center"/>
    </xf>
    <xf numFmtId="165" fontId="0" fillId="2" borderId="6" xfId="0" applyNumberFormat="1" applyFill="1" applyBorder="1" applyAlignment="1">
      <alignment horizontal="center" vertical="center"/>
    </xf>
    <xf numFmtId="165" fontId="0" fillId="2" borderId="8" xfId="0" applyNumberFormat="1" applyFill="1" applyBorder="1" applyAlignment="1">
      <alignment horizontal="center" vertical="center"/>
    </xf>
    <xf numFmtId="165" fontId="0" fillId="12" borderId="5" xfId="0" applyNumberFormat="1" applyFill="1" applyBorder="1" applyAlignment="1">
      <alignment horizontal="center" vertical="center"/>
    </xf>
    <xf numFmtId="165" fontId="0" fillId="12" borderId="3" xfId="0" applyNumberFormat="1" applyFill="1" applyBorder="1" applyAlignment="1">
      <alignment horizontal="center" vertical="center"/>
    </xf>
    <xf numFmtId="165" fontId="0" fillId="12" borderId="65" xfId="0" applyNumberFormat="1" applyFill="1" applyBorder="1" applyAlignment="1">
      <alignment horizontal="center" vertical="center"/>
    </xf>
    <xf numFmtId="165" fontId="0" fillId="2" borderId="65" xfId="0" applyNumberFormat="1" applyFill="1" applyBorder="1" applyAlignment="1">
      <alignment horizontal="center" vertical="center"/>
    </xf>
    <xf numFmtId="165" fontId="0" fillId="2" borderId="66" xfId="0" applyNumberFormat="1" applyFill="1" applyBorder="1" applyAlignment="1">
      <alignment horizontal="center" vertical="center"/>
    </xf>
    <xf numFmtId="165" fontId="0" fillId="12" borderId="64" xfId="0" applyNumberFormat="1" applyFill="1" applyBorder="1" applyAlignment="1">
      <alignment horizontal="center" vertical="center"/>
    </xf>
    <xf numFmtId="0" fontId="0" fillId="2" borderId="66" xfId="0" applyFill="1" applyBorder="1" applyAlignment="1">
      <alignment horizontal="center" vertical="center"/>
    </xf>
    <xf numFmtId="1" fontId="0" fillId="12" borderId="0" xfId="0" applyNumberFormat="1" applyFill="1" applyBorder="1" applyAlignment="1">
      <alignment horizontal="center" vertical="center"/>
    </xf>
    <xf numFmtId="1" fontId="0" fillId="2" borderId="0" xfId="0" applyNumberFormat="1" applyFill="1" applyBorder="1" applyAlignment="1">
      <alignment horizontal="center" vertical="center"/>
    </xf>
    <xf numFmtId="1" fontId="0" fillId="2" borderId="1" xfId="0" applyNumberFormat="1" applyFill="1" applyBorder="1" applyAlignment="1">
      <alignment horizontal="center" vertical="center"/>
    </xf>
    <xf numFmtId="1" fontId="0" fillId="12" borderId="4" xfId="0" applyNumberFormat="1" applyFill="1" applyBorder="1" applyAlignment="1">
      <alignment horizontal="center" vertical="center"/>
    </xf>
    <xf numFmtId="165" fontId="0" fillId="12" borderId="2" xfId="0" applyNumberFormat="1" applyFill="1" applyBorder="1" applyAlignment="1">
      <alignment horizontal="center" vertical="center"/>
    </xf>
    <xf numFmtId="165" fontId="0" fillId="11" borderId="2" xfId="0" applyNumberFormat="1" applyFill="1" applyBorder="1" applyAlignment="1">
      <alignment horizontal="center" vertical="center"/>
    </xf>
    <xf numFmtId="165" fontId="0" fillId="13" borderId="3" xfId="0" applyNumberFormat="1" applyFill="1" applyBorder="1" applyAlignment="1">
      <alignment horizontal="center" vertical="center"/>
    </xf>
    <xf numFmtId="165" fontId="0" fillId="13" borderId="5" xfId="0" applyNumberFormat="1" applyFill="1" applyBorder="1" applyAlignment="1">
      <alignment horizontal="center" vertical="center"/>
    </xf>
    <xf numFmtId="165" fontId="0" fillId="13" borderId="6" xfId="0" applyNumberFormat="1" applyFill="1" applyBorder="1" applyAlignment="1">
      <alignment horizontal="center" vertical="center"/>
    </xf>
    <xf numFmtId="165" fontId="0" fillId="13" borderId="7" xfId="0" applyNumberFormat="1" applyFill="1" applyBorder="1" applyAlignment="1">
      <alignment horizontal="center" vertical="center"/>
    </xf>
    <xf numFmtId="165" fontId="0" fillId="13" borderId="8" xfId="0" applyNumberFormat="1" applyFill="1" applyBorder="1" applyAlignment="1">
      <alignment horizontal="center" vertical="center"/>
    </xf>
    <xf numFmtId="165" fontId="0" fillId="13" borderId="9" xfId="0" applyNumberFormat="1" applyFill="1" applyBorder="1" applyAlignment="1">
      <alignment horizontal="center" vertical="center"/>
    </xf>
    <xf numFmtId="0" fontId="1" fillId="10" borderId="6" xfId="0" applyFont="1" applyFill="1" applyBorder="1" applyAlignment="1">
      <alignment horizontal="center" vertical="center"/>
    </xf>
    <xf numFmtId="165" fontId="1" fillId="15" borderId="2" xfId="0" applyNumberFormat="1" applyFont="1" applyFill="1" applyBorder="1" applyAlignment="1">
      <alignment horizontal="center" vertical="center"/>
    </xf>
    <xf numFmtId="0" fontId="1" fillId="10" borderId="66" xfId="0" applyFont="1" applyFill="1" applyBorder="1" applyAlignment="1">
      <alignment horizontal="center" vertical="center"/>
    </xf>
    <xf numFmtId="0" fontId="1" fillId="10" borderId="66" xfId="0" applyFont="1" applyFill="1" applyBorder="1" applyAlignment="1">
      <alignment horizontal="center" vertical="center" wrapText="1"/>
    </xf>
    <xf numFmtId="0" fontId="1" fillId="10" borderId="2" xfId="0" applyFont="1" applyFill="1" applyBorder="1" applyAlignment="1">
      <alignment horizontal="center" vertical="center" wrapText="1"/>
    </xf>
    <xf numFmtId="0" fontId="1" fillId="10" borderId="6" xfId="0" applyFont="1" applyFill="1" applyBorder="1" applyAlignment="1">
      <alignment horizontal="center" vertical="center"/>
    </xf>
    <xf numFmtId="0" fontId="1" fillId="10" borderId="8" xfId="0" applyFont="1" applyFill="1" applyBorder="1" applyAlignment="1">
      <alignment horizontal="center" vertical="center"/>
    </xf>
    <xf numFmtId="0" fontId="16" fillId="10" borderId="7" xfId="0" applyFont="1" applyFill="1" applyBorder="1" applyAlignment="1">
      <alignment horizontal="center" vertical="center"/>
    </xf>
    <xf numFmtId="2" fontId="0" fillId="12" borderId="8" xfId="0" applyNumberFormat="1" applyFill="1" applyBorder="1" applyAlignment="1">
      <alignment horizontal="center" vertical="center"/>
    </xf>
    <xf numFmtId="0" fontId="0" fillId="12" borderId="9" xfId="0" applyFill="1" applyBorder="1" applyAlignment="1">
      <alignment horizontal="center" vertical="center"/>
    </xf>
    <xf numFmtId="165" fontId="0" fillId="12" borderId="1" xfId="0" applyNumberFormat="1" applyFill="1" applyBorder="1" applyAlignment="1">
      <alignment horizontal="center" vertical="center"/>
    </xf>
    <xf numFmtId="165" fontId="0" fillId="0" borderId="9" xfId="0" applyNumberFormat="1" applyBorder="1" applyAlignment="1">
      <alignment horizontal="center" vertical="center"/>
    </xf>
    <xf numFmtId="166" fontId="1" fillId="15" borderId="2" xfId="0" applyNumberFormat="1" applyFont="1" applyFill="1" applyBorder="1" applyAlignment="1">
      <alignment horizontal="center" vertical="center"/>
    </xf>
    <xf numFmtId="165" fontId="0" fillId="13" borderId="65" xfId="0" applyNumberFormat="1" applyFill="1" applyBorder="1" applyAlignment="1">
      <alignment horizontal="center" vertical="center"/>
    </xf>
    <xf numFmtId="165" fontId="0" fillId="13" borderId="66" xfId="0" applyNumberFormat="1" applyFill="1" applyBorder="1" applyAlignment="1">
      <alignment horizontal="center" vertical="center"/>
    </xf>
    <xf numFmtId="9" fontId="0" fillId="12" borderId="2" xfId="0" applyNumberFormat="1" applyFill="1" applyBorder="1" applyAlignment="1">
      <alignment horizontal="center" vertical="center"/>
    </xf>
    <xf numFmtId="9" fontId="0" fillId="11" borderId="2" xfId="0" applyNumberFormat="1" applyFill="1" applyBorder="1" applyAlignment="1">
      <alignment horizontal="center" vertical="center"/>
    </xf>
    <xf numFmtId="0" fontId="0" fillId="0" borderId="2" xfId="0" applyBorder="1" applyAlignment="1">
      <alignment horizontal="center" vertical="center"/>
    </xf>
    <xf numFmtId="0" fontId="15" fillId="11" borderId="2" xfId="0" applyFont="1" applyFill="1" applyBorder="1" applyAlignment="1">
      <alignment horizontal="center" vertical="center"/>
    </xf>
    <xf numFmtId="1" fontId="2" fillId="11" borderId="2" xfId="0" applyNumberFormat="1" applyFont="1" applyFill="1" applyBorder="1" applyAlignment="1">
      <alignment horizontal="center" vertical="center"/>
    </xf>
    <xf numFmtId="166" fontId="0" fillId="11" borderId="2" xfId="0" applyNumberFormat="1" applyFill="1" applyBorder="1" applyAlignment="1">
      <alignment horizontal="center" vertical="center"/>
    </xf>
    <xf numFmtId="166" fontId="0" fillId="0" borderId="2" xfId="0" applyNumberFormat="1" applyBorder="1" applyAlignment="1">
      <alignment horizontal="center" vertical="center"/>
    </xf>
    <xf numFmtId="0" fontId="15" fillId="2" borderId="2" xfId="0" applyFont="1" applyFill="1" applyBorder="1" applyAlignment="1">
      <alignment horizontal="center" vertical="center"/>
    </xf>
    <xf numFmtId="0" fontId="1" fillId="10" borderId="2" xfId="0" applyFont="1" applyFill="1" applyBorder="1" applyAlignment="1">
      <alignment horizontal="center" vertical="center" wrapText="1"/>
    </xf>
    <xf numFmtId="0" fontId="1" fillId="10" borderId="66" xfId="0" applyFont="1" applyFill="1" applyBorder="1" applyAlignment="1">
      <alignment horizontal="center" vertical="center"/>
    </xf>
    <xf numFmtId="0" fontId="1" fillId="10" borderId="2" xfId="0" applyFont="1" applyFill="1" applyBorder="1" applyAlignment="1">
      <alignment horizontal="center" vertical="center"/>
    </xf>
    <xf numFmtId="166" fontId="0" fillId="0" borderId="0" xfId="0" applyNumberFormat="1" applyAlignment="1">
      <alignment horizontal="center" vertical="center"/>
    </xf>
    <xf numFmtId="2" fontId="0" fillId="0" borderId="0" xfId="0" applyNumberFormat="1" applyAlignment="1">
      <alignment horizontal="center" vertical="center"/>
    </xf>
    <xf numFmtId="0" fontId="0" fillId="12" borderId="6" xfId="0" applyFill="1" applyBorder="1" applyAlignment="1">
      <alignment horizontal="center" vertical="center"/>
    </xf>
    <xf numFmtId="0" fontId="0" fillId="12" borderId="0" xfId="0" applyFill="1" applyBorder="1" applyAlignment="1">
      <alignment horizontal="center" vertical="center"/>
    </xf>
    <xf numFmtId="2" fontId="0" fillId="0" borderId="0" xfId="0" applyNumberFormat="1" applyBorder="1" applyAlignment="1">
      <alignment horizontal="center" vertical="center"/>
    </xf>
    <xf numFmtId="0" fontId="0" fillId="0" borderId="1" xfId="0" applyBorder="1" applyAlignment="1">
      <alignment horizontal="center" vertical="center"/>
    </xf>
    <xf numFmtId="0" fontId="1" fillId="10" borderId="7" xfId="0" applyFont="1" applyFill="1" applyBorder="1" applyAlignment="1">
      <alignment horizontal="center" vertical="center"/>
    </xf>
    <xf numFmtId="0" fontId="0" fillId="0" borderId="9" xfId="0" applyBorder="1" applyAlignment="1">
      <alignment horizontal="center" vertical="center"/>
    </xf>
    <xf numFmtId="0" fontId="0" fillId="12" borderId="7" xfId="0" applyFill="1" applyBorder="1" applyAlignment="1">
      <alignment horizontal="center" vertical="center"/>
    </xf>
    <xf numFmtId="0" fontId="1" fillId="10" borderId="1" xfId="0" applyFont="1" applyFill="1" applyBorder="1" applyAlignment="1">
      <alignment horizontal="center" vertical="center"/>
    </xf>
    <xf numFmtId="2" fontId="0" fillId="12" borderId="0" xfId="0" applyNumberFormat="1" applyFill="1" applyBorder="1" applyAlignment="1">
      <alignment horizontal="center" vertical="center"/>
    </xf>
    <xf numFmtId="0" fontId="0" fillId="12" borderId="3" xfId="0" applyFill="1" applyBorder="1" applyAlignment="1">
      <alignment horizontal="center" vertical="center"/>
    </xf>
    <xf numFmtId="0" fontId="0" fillId="12" borderId="4" xfId="0" applyFill="1" applyBorder="1" applyAlignment="1">
      <alignment horizontal="center" vertical="center"/>
    </xf>
    <xf numFmtId="0" fontId="0" fillId="12" borderId="5" xfId="0" applyFill="1" applyBorder="1" applyAlignment="1">
      <alignment horizontal="center" vertical="center"/>
    </xf>
    <xf numFmtId="0" fontId="0" fillId="0" borderId="4" xfId="0" applyBorder="1" applyAlignment="1">
      <alignment horizontal="center" vertical="center"/>
    </xf>
    <xf numFmtId="0" fontId="0" fillId="16" borderId="64" xfId="0" applyFill="1" applyBorder="1" applyAlignment="1">
      <alignment horizontal="center" vertical="center"/>
    </xf>
    <xf numFmtId="0" fontId="0" fillId="16" borderId="66" xfId="0" applyFill="1" applyBorder="1" applyAlignment="1">
      <alignment horizontal="center" vertical="center"/>
    </xf>
    <xf numFmtId="0" fontId="0" fillId="0" borderId="72" xfId="0" applyFont="1" applyBorder="1" applyAlignment="1">
      <alignment horizontal="center" vertical="center"/>
    </xf>
    <xf numFmtId="0" fontId="0" fillId="2" borderId="0" xfId="0" applyFill="1" applyAlignment="1">
      <alignment horizontal="center" vertical="center"/>
    </xf>
    <xf numFmtId="0" fontId="15" fillId="0" borderId="0" xfId="0" applyFont="1" applyAlignment="1">
      <alignment horizontal="center" vertical="center"/>
    </xf>
    <xf numFmtId="44" fontId="0" fillId="0" borderId="0" xfId="1" applyFont="1" applyAlignment="1">
      <alignment horizontal="center" vertical="center"/>
    </xf>
    <xf numFmtId="167" fontId="0" fillId="0" borderId="0" xfId="1" applyNumberFormat="1" applyFont="1" applyAlignment="1">
      <alignment horizontal="center" vertical="center"/>
    </xf>
    <xf numFmtId="1" fontId="0" fillId="0" borderId="0" xfId="0" applyNumberFormat="1" applyAlignment="1">
      <alignment horizontal="center" vertical="center"/>
    </xf>
    <xf numFmtId="167" fontId="2" fillId="0" borderId="0" xfId="1" applyNumberFormat="1" applyFont="1" applyAlignment="1">
      <alignment horizontal="center" vertical="center"/>
    </xf>
    <xf numFmtId="166" fontId="2" fillId="0" borderId="0" xfId="0" applyNumberFormat="1" applyFont="1" applyAlignment="1">
      <alignment horizontal="center" vertical="center"/>
    </xf>
    <xf numFmtId="0" fontId="0" fillId="2" borderId="0" xfId="0" applyFill="1" applyAlignment="1">
      <alignment horizontal="center" vertical="center" wrapText="1"/>
    </xf>
    <xf numFmtId="165" fontId="0" fillId="2" borderId="1" xfId="0" applyNumberFormat="1" applyFont="1" applyFill="1" applyBorder="1" applyAlignment="1">
      <alignment horizontal="center" vertical="center"/>
    </xf>
    <xf numFmtId="0" fontId="0" fillId="2" borderId="0" xfId="0" applyFont="1" applyFill="1" applyBorder="1" applyAlignment="1">
      <alignment horizontal="center" vertical="center"/>
    </xf>
    <xf numFmtId="0" fontId="1" fillId="10" borderId="19" xfId="0" applyFont="1" applyFill="1" applyBorder="1" applyAlignment="1">
      <alignment horizontal="center" vertical="center"/>
    </xf>
    <xf numFmtId="0" fontId="0" fillId="10" borderId="0" xfId="0" applyFill="1" applyBorder="1" applyAlignment="1">
      <alignment horizontal="center" vertical="center"/>
    </xf>
    <xf numFmtId="0" fontId="0" fillId="10" borderId="6" xfId="0" applyFont="1" applyFill="1" applyBorder="1" applyAlignment="1">
      <alignment horizontal="center" vertical="center"/>
    </xf>
    <xf numFmtId="0" fontId="0" fillId="10" borderId="0" xfId="0" applyFont="1" applyFill="1" applyBorder="1" applyAlignment="1">
      <alignment horizontal="center" vertical="center"/>
    </xf>
    <xf numFmtId="0" fontId="0" fillId="10" borderId="7" xfId="0" applyFont="1" applyFill="1" applyBorder="1" applyAlignment="1">
      <alignment horizontal="center" vertical="center"/>
    </xf>
    <xf numFmtId="0" fontId="14" fillId="10" borderId="6" xfId="0" applyFont="1" applyFill="1" applyBorder="1" applyAlignment="1">
      <alignment horizontal="center" vertical="center"/>
    </xf>
    <xf numFmtId="0" fontId="14" fillId="10" borderId="0" xfId="0" applyFont="1" applyFill="1" applyBorder="1" applyAlignment="1">
      <alignment horizontal="center" vertical="center"/>
    </xf>
    <xf numFmtId="0" fontId="14" fillId="10" borderId="7" xfId="0" applyFont="1" applyFill="1" applyBorder="1" applyAlignment="1">
      <alignment horizontal="center" vertical="center"/>
    </xf>
    <xf numFmtId="0" fontId="5" fillId="7" borderId="2" xfId="0" applyFont="1" applyFill="1" applyBorder="1" applyAlignment="1">
      <alignment horizontal="center" vertical="center"/>
    </xf>
    <xf numFmtId="2" fontId="5" fillId="7" borderId="2" xfId="0" applyNumberFormat="1" applyFont="1" applyFill="1" applyBorder="1" applyAlignment="1">
      <alignment horizontal="center" vertical="center"/>
    </xf>
    <xf numFmtId="0" fontId="0" fillId="2" borderId="0" xfId="0" applyFill="1" applyAlignment="1">
      <alignment vertical="center"/>
    </xf>
    <xf numFmtId="0" fontId="0" fillId="2" borderId="37" xfId="0" applyFill="1" applyBorder="1" applyAlignment="1">
      <alignment horizontal="center" vertical="center"/>
    </xf>
    <xf numFmtId="166" fontId="0" fillId="2" borderId="0" xfId="0" applyNumberFormat="1" applyFill="1" applyAlignment="1">
      <alignment horizontal="center" vertical="center"/>
    </xf>
    <xf numFmtId="0" fontId="1" fillId="10" borderId="0" xfId="0" applyFont="1" applyFill="1" applyBorder="1" applyAlignment="1">
      <alignment horizontal="center" vertical="center"/>
    </xf>
    <xf numFmtId="0" fontId="1" fillId="10" borderId="2" xfId="0" applyFont="1" applyFill="1" applyBorder="1" applyAlignment="1">
      <alignment horizontal="center" vertical="center"/>
    </xf>
    <xf numFmtId="0" fontId="15" fillId="10" borderId="0" xfId="0" applyFont="1" applyFill="1" applyBorder="1" applyAlignment="1">
      <alignment horizontal="center" vertical="center"/>
    </xf>
    <xf numFmtId="0" fontId="0" fillId="2" borderId="0" xfId="0" applyFill="1"/>
    <xf numFmtId="0" fontId="1" fillId="10" borderId="6" xfId="0" applyFont="1" applyFill="1" applyBorder="1" applyAlignment="1">
      <alignment horizontal="center" vertical="center"/>
    </xf>
    <xf numFmtId="0" fontId="1" fillId="10" borderId="0" xfId="0" applyFont="1" applyFill="1" applyBorder="1" applyAlignment="1">
      <alignment horizontal="center" vertical="center"/>
    </xf>
    <xf numFmtId="165" fontId="0" fillId="0" borderId="0" xfId="0" applyNumberFormat="1" applyBorder="1" applyAlignment="1">
      <alignment horizontal="center" vertical="center"/>
    </xf>
    <xf numFmtId="0" fontId="0" fillId="2" borderId="2" xfId="0" applyFill="1" applyBorder="1" applyAlignment="1">
      <alignment horizontal="center" vertical="center"/>
    </xf>
    <xf numFmtId="0" fontId="0" fillId="2" borderId="0" xfId="0" applyFill="1" applyAlignment="1">
      <alignment horizontal="center" vertical="center"/>
    </xf>
    <xf numFmtId="0" fontId="5" fillId="4" borderId="3" xfId="0" applyFont="1" applyFill="1" applyBorder="1" applyAlignment="1">
      <alignment horizontal="center" vertical="center"/>
    </xf>
    <xf numFmtId="0" fontId="5" fillId="4" borderId="4" xfId="0" applyFont="1" applyFill="1" applyBorder="1" applyAlignment="1">
      <alignment horizontal="center" vertical="center"/>
    </xf>
    <xf numFmtId="0" fontId="5" fillId="4" borderId="5" xfId="0" applyFont="1" applyFill="1" applyBorder="1" applyAlignment="1">
      <alignment horizontal="center" vertical="center"/>
    </xf>
    <xf numFmtId="0" fontId="1" fillId="10" borderId="7" xfId="0" applyFont="1" applyFill="1" applyBorder="1" applyAlignment="1">
      <alignment horizontal="center" vertical="center"/>
    </xf>
    <xf numFmtId="0" fontId="1" fillId="10" borderId="6" xfId="0" applyFont="1" applyFill="1" applyBorder="1" applyAlignment="1">
      <alignment horizontal="center" vertical="center"/>
    </xf>
    <xf numFmtId="0" fontId="1" fillId="10" borderId="0" xfId="0" applyFont="1" applyFill="1" applyBorder="1" applyAlignment="1">
      <alignment horizontal="center" vertical="center"/>
    </xf>
    <xf numFmtId="0" fontId="0" fillId="6" borderId="10" xfId="0" applyFill="1" applyBorder="1" applyAlignment="1">
      <alignment horizontal="center" vertical="center" wrapText="1"/>
    </xf>
    <xf numFmtId="0" fontId="0" fillId="6" borderId="11" xfId="0" applyFill="1" applyBorder="1" applyAlignment="1">
      <alignment horizontal="center" vertical="center" wrapText="1"/>
    </xf>
    <xf numFmtId="0" fontId="0" fillId="6" borderId="12" xfId="0" applyFill="1" applyBorder="1" applyAlignment="1">
      <alignment horizontal="center" vertical="center" wrapText="1"/>
    </xf>
    <xf numFmtId="0" fontId="5" fillId="4" borderId="2" xfId="0" applyFont="1" applyFill="1" applyBorder="1" applyAlignment="1">
      <alignment horizontal="center" vertical="center"/>
    </xf>
    <xf numFmtId="0" fontId="5" fillId="4" borderId="20" xfId="0" applyFont="1" applyFill="1" applyBorder="1" applyAlignment="1">
      <alignment horizontal="center" vertical="center"/>
    </xf>
    <xf numFmtId="0" fontId="5" fillId="4" borderId="21" xfId="0" applyFont="1" applyFill="1" applyBorder="1" applyAlignment="1">
      <alignment horizontal="center" vertical="center"/>
    </xf>
    <xf numFmtId="0" fontId="5" fillId="4" borderId="22" xfId="0" applyFont="1" applyFill="1" applyBorder="1" applyAlignment="1">
      <alignment horizontal="center" vertical="center"/>
    </xf>
    <xf numFmtId="0" fontId="2" fillId="5" borderId="16" xfId="0" applyFont="1" applyFill="1" applyBorder="1" applyAlignment="1">
      <alignment horizontal="center" vertical="center" wrapText="1"/>
    </xf>
    <xf numFmtId="0" fontId="2" fillId="5" borderId="17" xfId="0" applyFont="1" applyFill="1" applyBorder="1" applyAlignment="1">
      <alignment horizontal="center" vertical="center"/>
    </xf>
    <xf numFmtId="0" fontId="2" fillId="6" borderId="16" xfId="0" applyFont="1" applyFill="1" applyBorder="1" applyAlignment="1">
      <alignment horizontal="center" vertical="center" wrapText="1"/>
    </xf>
    <xf numFmtId="0" fontId="2" fillId="6" borderId="17" xfId="0" applyFont="1" applyFill="1" applyBorder="1" applyAlignment="1">
      <alignment horizontal="center" vertical="center"/>
    </xf>
    <xf numFmtId="0" fontId="2" fillId="5" borderId="18" xfId="0" applyFont="1" applyFill="1" applyBorder="1" applyAlignment="1">
      <alignment horizontal="center" vertical="center"/>
    </xf>
    <xf numFmtId="0" fontId="2" fillId="6" borderId="7" xfId="0" applyFont="1" applyFill="1" applyBorder="1" applyAlignment="1">
      <alignment horizontal="center" vertical="center" wrapText="1"/>
    </xf>
    <xf numFmtId="0" fontId="2" fillId="6" borderId="7" xfId="0" applyFont="1" applyFill="1" applyBorder="1" applyAlignment="1">
      <alignment horizontal="center" vertical="center"/>
    </xf>
    <xf numFmtId="0" fontId="2" fillId="6" borderId="9" xfId="0" applyFont="1" applyFill="1" applyBorder="1" applyAlignment="1">
      <alignment horizontal="center" vertical="center"/>
    </xf>
    <xf numFmtId="0" fontId="0" fillId="5" borderId="10" xfId="0" applyFill="1" applyBorder="1" applyAlignment="1">
      <alignment horizontal="center" vertical="center" wrapText="1"/>
    </xf>
    <xf numFmtId="0" fontId="0" fillId="5" borderId="11" xfId="0" applyFill="1" applyBorder="1" applyAlignment="1">
      <alignment horizontal="center" vertical="center" wrapText="1"/>
    </xf>
    <xf numFmtId="0" fontId="0" fillId="5" borderId="12" xfId="0" applyFill="1" applyBorder="1" applyAlignment="1">
      <alignment horizontal="center" vertical="center" wrapText="1"/>
    </xf>
    <xf numFmtId="0" fontId="0" fillId="2" borderId="0" xfId="0" applyFill="1" applyBorder="1" applyAlignment="1">
      <alignment horizontal="center" vertical="center"/>
    </xf>
    <xf numFmtId="0" fontId="5" fillId="4" borderId="0" xfId="0" applyFont="1" applyFill="1" applyAlignment="1">
      <alignment horizontal="center" vertical="center"/>
    </xf>
    <xf numFmtId="0" fontId="0" fillId="5" borderId="3" xfId="0" applyFill="1" applyBorder="1" applyAlignment="1">
      <alignment horizontal="center" vertical="center" wrapText="1"/>
    </xf>
    <xf numFmtId="0" fontId="0" fillId="5" borderId="6" xfId="0" applyFill="1" applyBorder="1" applyAlignment="1">
      <alignment horizontal="center" vertical="center" wrapText="1"/>
    </xf>
    <xf numFmtId="0" fontId="0" fillId="5" borderId="8" xfId="0" applyFill="1" applyBorder="1" applyAlignment="1">
      <alignment horizontal="center" vertical="center" wrapText="1"/>
    </xf>
    <xf numFmtId="0" fontId="0" fillId="6" borderId="3" xfId="0" applyFill="1" applyBorder="1" applyAlignment="1">
      <alignment horizontal="center" vertical="center" wrapText="1"/>
    </xf>
    <xf numFmtId="0" fontId="0" fillId="6" borderId="6" xfId="0" applyFill="1" applyBorder="1" applyAlignment="1">
      <alignment horizontal="center" vertical="center" wrapText="1"/>
    </xf>
    <xf numFmtId="0" fontId="0" fillId="6" borderId="8" xfId="0" applyFill="1" applyBorder="1" applyAlignment="1">
      <alignment horizontal="center" vertical="center" wrapText="1"/>
    </xf>
    <xf numFmtId="0" fontId="1" fillId="8" borderId="3" xfId="0" applyFont="1" applyFill="1" applyBorder="1" applyAlignment="1">
      <alignment horizontal="center" vertical="center"/>
    </xf>
    <xf numFmtId="0" fontId="1" fillId="8" borderId="4" xfId="0" applyFont="1" applyFill="1" applyBorder="1" applyAlignment="1">
      <alignment horizontal="center" vertical="center"/>
    </xf>
    <xf numFmtId="0" fontId="1" fillId="8" borderId="5" xfId="0" applyFont="1" applyFill="1" applyBorder="1" applyAlignment="1">
      <alignment horizontal="center" vertical="center"/>
    </xf>
    <xf numFmtId="165" fontId="0" fillId="11" borderId="59" xfId="0" applyNumberFormat="1" applyFill="1" applyBorder="1" applyAlignment="1">
      <alignment horizontal="center" vertical="center"/>
    </xf>
    <xf numFmtId="0" fontId="1" fillId="10" borderId="2" xfId="0" applyFont="1" applyFill="1" applyBorder="1" applyAlignment="1">
      <alignment horizontal="center" vertical="center" wrapText="1"/>
    </xf>
    <xf numFmtId="165" fontId="0" fillId="12" borderId="2" xfId="0" applyNumberFormat="1" applyFill="1" applyBorder="1" applyAlignment="1">
      <alignment horizontal="center" vertical="center"/>
    </xf>
    <xf numFmtId="165" fontId="0" fillId="12" borderId="24" xfId="0" applyNumberFormat="1" applyFill="1" applyBorder="1" applyAlignment="1">
      <alignment horizontal="center" vertical="center"/>
    </xf>
    <xf numFmtId="165" fontId="0" fillId="12" borderId="59" xfId="0" applyNumberFormat="1" applyFill="1" applyBorder="1" applyAlignment="1">
      <alignment horizontal="center" vertical="center"/>
    </xf>
    <xf numFmtId="165" fontId="0" fillId="12" borderId="61" xfId="0" applyNumberFormat="1" applyFill="1" applyBorder="1" applyAlignment="1">
      <alignment horizontal="center" vertical="center"/>
    </xf>
    <xf numFmtId="0" fontId="0" fillId="11" borderId="64" xfId="0" applyFill="1" applyBorder="1" applyAlignment="1">
      <alignment horizontal="center" vertical="center"/>
    </xf>
    <xf numFmtId="0" fontId="0" fillId="11" borderId="65" xfId="0" applyFill="1" applyBorder="1" applyAlignment="1">
      <alignment horizontal="center" vertical="center"/>
    </xf>
    <xf numFmtId="0" fontId="0" fillId="11" borderId="67" xfId="0" applyFill="1" applyBorder="1" applyAlignment="1">
      <alignment horizontal="center" vertical="center"/>
    </xf>
    <xf numFmtId="165" fontId="0" fillId="11" borderId="64" xfId="0" applyNumberFormat="1" applyFill="1" applyBorder="1" applyAlignment="1">
      <alignment horizontal="center" vertical="center"/>
    </xf>
    <xf numFmtId="165" fontId="0" fillId="11" borderId="65" xfId="0" applyNumberFormat="1" applyFill="1" applyBorder="1" applyAlignment="1">
      <alignment horizontal="center" vertical="center"/>
    </xf>
    <xf numFmtId="165" fontId="0" fillId="11" borderId="67" xfId="0" applyNumberFormat="1" applyFill="1" applyBorder="1" applyAlignment="1">
      <alignment horizontal="center" vertical="center"/>
    </xf>
    <xf numFmtId="0" fontId="0" fillId="11" borderId="64" xfId="0" applyFill="1" applyBorder="1" applyAlignment="1">
      <alignment horizontal="center" vertical="center" wrapText="1"/>
    </xf>
    <xf numFmtId="0" fontId="0" fillId="11" borderId="65" xfId="0" applyFill="1" applyBorder="1" applyAlignment="1">
      <alignment horizontal="center" vertical="center" wrapText="1"/>
    </xf>
    <xf numFmtId="0" fontId="0" fillId="11" borderId="67" xfId="0" applyFill="1" applyBorder="1" applyAlignment="1">
      <alignment horizontal="center" vertical="center" wrapText="1"/>
    </xf>
    <xf numFmtId="165" fontId="0" fillId="11" borderId="2" xfId="0" applyNumberFormat="1" applyFill="1" applyBorder="1" applyAlignment="1">
      <alignment horizontal="center" vertical="center"/>
    </xf>
    <xf numFmtId="165" fontId="0" fillId="11" borderId="24" xfId="0" applyNumberFormat="1" applyFill="1" applyBorder="1" applyAlignment="1">
      <alignment horizontal="center" vertical="center"/>
    </xf>
    <xf numFmtId="0" fontId="1" fillId="10" borderId="56" xfId="0" applyFont="1" applyFill="1" applyBorder="1" applyAlignment="1">
      <alignment horizontal="center" vertical="center"/>
    </xf>
    <xf numFmtId="0" fontId="1" fillId="10" borderId="57" xfId="0" applyFont="1" applyFill="1" applyBorder="1" applyAlignment="1">
      <alignment horizontal="center" vertical="center"/>
    </xf>
    <xf numFmtId="0" fontId="1" fillId="10" borderId="58" xfId="0" applyFont="1" applyFill="1" applyBorder="1" applyAlignment="1">
      <alignment horizontal="center" vertical="center"/>
    </xf>
    <xf numFmtId="0" fontId="1" fillId="10" borderId="68" xfId="0" applyFont="1" applyFill="1" applyBorder="1" applyAlignment="1">
      <alignment horizontal="center" vertical="center"/>
    </xf>
    <xf numFmtId="0" fontId="1" fillId="10" borderId="69" xfId="0" applyFont="1" applyFill="1" applyBorder="1" applyAlignment="1">
      <alignment horizontal="center" vertical="center"/>
    </xf>
    <xf numFmtId="0" fontId="1" fillId="10" borderId="70" xfId="0" applyFont="1" applyFill="1" applyBorder="1" applyAlignment="1">
      <alignment horizontal="center" vertical="center"/>
    </xf>
    <xf numFmtId="0" fontId="5" fillId="14" borderId="0" xfId="0" applyFont="1" applyFill="1" applyAlignment="1">
      <alignment horizontal="center" vertical="center"/>
    </xf>
    <xf numFmtId="0" fontId="1" fillId="9" borderId="3" xfId="0" applyFont="1" applyFill="1" applyBorder="1" applyAlignment="1">
      <alignment horizontal="center" vertical="center"/>
    </xf>
    <xf numFmtId="0" fontId="1" fillId="9" borderId="5" xfId="0" applyFont="1" applyFill="1" applyBorder="1" applyAlignment="1">
      <alignment horizontal="center" vertical="center"/>
    </xf>
    <xf numFmtId="165" fontId="0" fillId="11" borderId="27" xfId="0" applyNumberFormat="1" applyFill="1" applyBorder="1" applyAlignment="1">
      <alignment horizontal="center" vertical="center"/>
    </xf>
    <xf numFmtId="165" fontId="0" fillId="11" borderId="25" xfId="0" applyNumberFormat="1" applyFill="1" applyBorder="1" applyAlignment="1">
      <alignment horizontal="center" vertical="center"/>
    </xf>
    <xf numFmtId="165" fontId="0" fillId="11" borderId="30" xfId="0" applyNumberFormat="1" applyFill="1" applyBorder="1" applyAlignment="1">
      <alignment horizontal="center" vertical="center"/>
    </xf>
    <xf numFmtId="0" fontId="1" fillId="10" borderId="26" xfId="0" applyFont="1" applyFill="1" applyBorder="1" applyAlignment="1">
      <alignment horizontal="center" vertical="center" wrapText="1"/>
    </xf>
    <xf numFmtId="0" fontId="1" fillId="10" borderId="28" xfId="0" applyFont="1" applyFill="1" applyBorder="1" applyAlignment="1">
      <alignment horizontal="center" vertical="center" wrapText="1"/>
    </xf>
    <xf numFmtId="0" fontId="1" fillId="10" borderId="29" xfId="0" applyFont="1" applyFill="1" applyBorder="1" applyAlignment="1">
      <alignment horizontal="center" vertical="center" wrapText="1"/>
    </xf>
    <xf numFmtId="0" fontId="5" fillId="4" borderId="31" xfId="0" applyFont="1" applyFill="1" applyBorder="1" applyAlignment="1">
      <alignment horizontal="center" vertical="center"/>
    </xf>
    <xf numFmtId="0" fontId="5" fillId="4" borderId="32" xfId="0" applyFont="1" applyFill="1" applyBorder="1" applyAlignment="1">
      <alignment horizontal="center" vertical="center"/>
    </xf>
    <xf numFmtId="0" fontId="5" fillId="4" borderId="37" xfId="0" applyFont="1" applyFill="1" applyBorder="1" applyAlignment="1">
      <alignment horizontal="center" vertical="center"/>
    </xf>
    <xf numFmtId="0" fontId="5" fillId="4" borderId="38" xfId="0" applyFont="1" applyFill="1" applyBorder="1" applyAlignment="1">
      <alignment horizontal="center" vertical="center"/>
    </xf>
    <xf numFmtId="0" fontId="1" fillId="10" borderId="5" xfId="0" applyFont="1" applyFill="1" applyBorder="1" applyAlignment="1">
      <alignment horizontal="center" vertical="center"/>
    </xf>
    <xf numFmtId="0" fontId="1" fillId="10" borderId="35" xfId="0" applyFont="1" applyFill="1" applyBorder="1" applyAlignment="1">
      <alignment horizontal="center" vertical="center"/>
    </xf>
    <xf numFmtId="0" fontId="1" fillId="10" borderId="33" xfId="0" applyFont="1" applyFill="1" applyBorder="1" applyAlignment="1">
      <alignment horizontal="center" vertical="center"/>
    </xf>
    <xf numFmtId="0" fontId="1" fillId="10" borderId="34" xfId="0" applyFont="1" applyFill="1" applyBorder="1" applyAlignment="1">
      <alignment horizontal="center" vertical="center"/>
    </xf>
    <xf numFmtId="165" fontId="11" fillId="12" borderId="27" xfId="0" applyNumberFormat="1" applyFont="1" applyFill="1" applyBorder="1" applyAlignment="1">
      <alignment horizontal="center" vertical="center"/>
    </xf>
    <xf numFmtId="165" fontId="11" fillId="12" borderId="25" xfId="0" applyNumberFormat="1" applyFont="1" applyFill="1" applyBorder="1" applyAlignment="1">
      <alignment horizontal="center" vertical="center"/>
    </xf>
    <xf numFmtId="165" fontId="11" fillId="12" borderId="30" xfId="0" applyNumberFormat="1" applyFont="1" applyFill="1" applyBorder="1" applyAlignment="1">
      <alignment horizontal="center" vertical="center"/>
    </xf>
    <xf numFmtId="165" fontId="0" fillId="12" borderId="27" xfId="0" applyNumberFormat="1" applyFill="1" applyBorder="1" applyAlignment="1">
      <alignment horizontal="center" vertical="center"/>
    </xf>
    <xf numFmtId="165" fontId="0" fillId="12" borderId="25" xfId="0" applyNumberFormat="1" applyFill="1" applyBorder="1" applyAlignment="1">
      <alignment horizontal="center" vertical="center"/>
    </xf>
    <xf numFmtId="165" fontId="0" fillId="12" borderId="30" xfId="0" applyNumberFormat="1" applyFill="1" applyBorder="1" applyAlignment="1">
      <alignment horizontal="center" vertical="center"/>
    </xf>
    <xf numFmtId="165" fontId="11" fillId="12" borderId="54" xfId="0" applyNumberFormat="1" applyFont="1" applyFill="1" applyBorder="1" applyAlignment="1">
      <alignment horizontal="center" vertical="center"/>
    </xf>
    <xf numFmtId="165" fontId="11" fillId="12" borderId="51" xfId="0" applyNumberFormat="1" applyFont="1" applyFill="1" applyBorder="1" applyAlignment="1">
      <alignment horizontal="center" vertical="center"/>
    </xf>
    <xf numFmtId="165" fontId="11" fillId="12" borderId="52" xfId="0" applyNumberFormat="1" applyFont="1" applyFill="1" applyBorder="1" applyAlignment="1">
      <alignment horizontal="center" vertical="center"/>
    </xf>
    <xf numFmtId="165" fontId="0" fillId="11" borderId="54" xfId="0" applyNumberFormat="1" applyFill="1" applyBorder="1" applyAlignment="1">
      <alignment horizontal="center" vertical="center"/>
    </xf>
    <xf numFmtId="165" fontId="0" fillId="11" borderId="51" xfId="0" applyNumberFormat="1" applyFill="1" applyBorder="1" applyAlignment="1">
      <alignment horizontal="center" vertical="center"/>
    </xf>
    <xf numFmtId="165" fontId="0" fillId="11" borderId="52" xfId="0" applyNumberFormat="1" applyFill="1" applyBorder="1" applyAlignment="1">
      <alignment horizontal="center" vertical="center"/>
    </xf>
    <xf numFmtId="0" fontId="1" fillId="10" borderId="44" xfId="0" applyFont="1" applyFill="1" applyBorder="1" applyAlignment="1">
      <alignment horizontal="center" vertical="center"/>
    </xf>
    <xf numFmtId="0" fontId="1" fillId="10" borderId="42" xfId="0" applyFont="1" applyFill="1" applyBorder="1" applyAlignment="1">
      <alignment horizontal="center" vertical="center"/>
    </xf>
    <xf numFmtId="0" fontId="1" fillId="10" borderId="41" xfId="0" applyFont="1" applyFill="1" applyBorder="1" applyAlignment="1">
      <alignment horizontal="center" vertical="center"/>
    </xf>
    <xf numFmtId="0" fontId="1" fillId="10" borderId="39" xfId="0" applyFont="1" applyFill="1" applyBorder="1" applyAlignment="1">
      <alignment horizontal="center" vertical="center"/>
    </xf>
    <xf numFmtId="165" fontId="0" fillId="11" borderId="49" xfId="0" applyNumberFormat="1" applyFill="1" applyBorder="1" applyAlignment="1">
      <alignment horizontal="center" vertical="center"/>
    </xf>
    <xf numFmtId="0" fontId="1" fillId="17" borderId="2" xfId="0" applyFont="1" applyFill="1" applyBorder="1" applyAlignment="1">
      <alignment horizontal="center" vertical="center"/>
    </xf>
    <xf numFmtId="0" fontId="5" fillId="7" borderId="2" xfId="0" applyFont="1" applyFill="1" applyBorder="1" applyAlignment="1">
      <alignment horizontal="center" vertical="center"/>
    </xf>
    <xf numFmtId="0" fontId="0" fillId="0" borderId="2" xfId="0" applyBorder="1" applyAlignment="1">
      <alignment horizontal="center" vertical="center" wrapText="1"/>
    </xf>
    <xf numFmtId="0" fontId="0" fillId="12" borderId="2" xfId="0" applyFill="1" applyBorder="1" applyAlignment="1">
      <alignment horizontal="center" vertical="center" wrapText="1"/>
    </xf>
    <xf numFmtId="0" fontId="1" fillId="10" borderId="64" xfId="0" applyFont="1" applyFill="1" applyBorder="1" applyAlignment="1">
      <alignment horizontal="center" vertical="center"/>
    </xf>
    <xf numFmtId="0" fontId="1" fillId="10" borderId="65" xfId="0" applyFont="1" applyFill="1" applyBorder="1" applyAlignment="1">
      <alignment horizontal="center" vertical="center"/>
    </xf>
    <xf numFmtId="0" fontId="1" fillId="10" borderId="66" xfId="0" applyFont="1" applyFill="1" applyBorder="1" applyAlignment="1">
      <alignment horizontal="center" vertical="center"/>
    </xf>
    <xf numFmtId="165" fontId="0" fillId="12" borderId="66" xfId="0" applyNumberFormat="1" applyFill="1" applyBorder="1" applyAlignment="1">
      <alignment horizontal="center" vertical="center"/>
    </xf>
    <xf numFmtId="0" fontId="0" fillId="0" borderId="66" xfId="0" applyBorder="1" applyAlignment="1">
      <alignment horizontal="center" vertical="center" wrapText="1"/>
    </xf>
    <xf numFmtId="0" fontId="0" fillId="12" borderId="64" xfId="0" applyFill="1" applyBorder="1" applyAlignment="1">
      <alignment horizontal="center" vertical="center" wrapText="1"/>
    </xf>
    <xf numFmtId="0" fontId="0" fillId="12" borderId="65" xfId="0" applyFill="1" applyBorder="1" applyAlignment="1">
      <alignment horizontal="center" vertical="center" wrapText="1"/>
    </xf>
    <xf numFmtId="0" fontId="0" fillId="12" borderId="66" xfId="0" applyFill="1" applyBorder="1" applyAlignment="1">
      <alignment horizontal="center" vertical="center" wrapText="1"/>
    </xf>
    <xf numFmtId="165" fontId="0" fillId="12" borderId="0" xfId="0" applyNumberFormat="1" applyFill="1" applyBorder="1" applyAlignment="1">
      <alignment horizontal="center" vertical="center"/>
    </xf>
    <xf numFmtId="165" fontId="0" fillId="12" borderId="1" xfId="0" applyNumberFormat="1" applyFill="1" applyBorder="1" applyAlignment="1">
      <alignment horizontal="center" vertical="center"/>
    </xf>
    <xf numFmtId="0" fontId="1" fillId="10" borderId="3" xfId="0" applyFont="1" applyFill="1" applyBorder="1" applyAlignment="1">
      <alignment horizontal="center" vertical="center"/>
    </xf>
    <xf numFmtId="0" fontId="1" fillId="10" borderId="8"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71" xfId="0" applyFont="1" applyFill="1" applyBorder="1" applyAlignment="1">
      <alignment horizontal="center" vertical="center"/>
    </xf>
    <xf numFmtId="0" fontId="5" fillId="4" borderId="23" xfId="0" applyFont="1" applyFill="1" applyBorder="1" applyAlignment="1">
      <alignment horizontal="center" vertical="center"/>
    </xf>
    <xf numFmtId="165" fontId="0" fillId="0" borderId="2" xfId="0" applyNumberFormat="1" applyBorder="1" applyAlignment="1">
      <alignment horizontal="center" vertical="center"/>
    </xf>
    <xf numFmtId="0" fontId="5" fillId="4" borderId="6" xfId="0" applyFont="1" applyFill="1" applyBorder="1" applyAlignment="1">
      <alignment horizontal="center" vertical="center"/>
    </xf>
    <xf numFmtId="0" fontId="5" fillId="4" borderId="0" xfId="0" applyFont="1" applyFill="1" applyBorder="1" applyAlignment="1">
      <alignment horizontal="center" vertical="center"/>
    </xf>
    <xf numFmtId="165" fontId="0" fillId="0" borderId="0" xfId="0" applyNumberFormat="1" applyBorder="1" applyAlignment="1">
      <alignment horizontal="center" vertical="center"/>
    </xf>
    <xf numFmtId="0" fontId="0" fillId="12" borderId="0" xfId="0" applyFill="1" applyBorder="1" applyAlignment="1">
      <alignment horizontal="center" vertical="center" wrapText="1"/>
    </xf>
    <xf numFmtId="0" fontId="0" fillId="12" borderId="1" xfId="0" applyFill="1" applyBorder="1" applyAlignment="1">
      <alignment horizontal="center" vertical="center" wrapText="1"/>
    </xf>
    <xf numFmtId="0" fontId="0" fillId="0" borderId="2" xfId="0" applyBorder="1" applyAlignment="1">
      <alignment horizontal="center" vertical="center"/>
    </xf>
    <xf numFmtId="0" fontId="14" fillId="2" borderId="2" xfId="0" applyFont="1" applyFill="1" applyBorder="1" applyAlignment="1">
      <alignment horizontal="center" vertical="center"/>
    </xf>
    <xf numFmtId="0" fontId="0" fillId="2" borderId="2" xfId="0" applyFill="1" applyBorder="1" applyAlignment="1">
      <alignment horizontal="center" vertical="center"/>
    </xf>
    <xf numFmtId="0" fontId="5" fillId="4" borderId="1" xfId="0" applyFont="1" applyFill="1" applyBorder="1" applyAlignment="1">
      <alignment horizontal="center" vertical="center"/>
    </xf>
    <xf numFmtId="0" fontId="0" fillId="11" borderId="2" xfId="0" applyFill="1" applyBorder="1" applyAlignment="1">
      <alignment horizontal="center" vertical="center"/>
    </xf>
    <xf numFmtId="0" fontId="1" fillId="10" borderId="2" xfId="0" applyFont="1" applyFill="1" applyBorder="1" applyAlignment="1">
      <alignment horizontal="center" vertical="center"/>
    </xf>
    <xf numFmtId="0" fontId="0" fillId="11" borderId="24" xfId="0" applyFont="1" applyFill="1" applyBorder="1" applyAlignment="1">
      <alignment horizontal="center" vertical="center"/>
    </xf>
    <xf numFmtId="0" fontId="0" fillId="11" borderId="71" xfId="0" applyFont="1" applyFill="1" applyBorder="1" applyAlignment="1">
      <alignment horizontal="center" vertical="center"/>
    </xf>
    <xf numFmtId="0" fontId="0" fillId="11" borderId="23" xfId="0" applyFont="1" applyFill="1" applyBorder="1" applyAlignment="1">
      <alignment horizontal="center" vertical="center"/>
    </xf>
    <xf numFmtId="0" fontId="0" fillId="2" borderId="0" xfId="0" applyFill="1" applyAlignment="1">
      <alignment horizontal="center" vertical="center"/>
    </xf>
    <xf numFmtId="165" fontId="23" fillId="2" borderId="2" xfId="0" applyNumberFormat="1" applyFont="1" applyFill="1" applyBorder="1" applyAlignment="1">
      <alignment horizontal="center" vertical="center"/>
    </xf>
    <xf numFmtId="0" fontId="15" fillId="0" borderId="6" xfId="0" applyFont="1" applyBorder="1" applyAlignment="1">
      <alignment horizontal="center" vertical="center"/>
    </xf>
    <xf numFmtId="0" fontId="15" fillId="0" borderId="8" xfId="0" applyFont="1" applyBorder="1" applyAlignment="1">
      <alignment horizontal="center" vertical="center"/>
    </xf>
  </cellXfs>
  <cellStyles count="2">
    <cellStyle name="Currency" xfId="1" builtinId="4"/>
    <cellStyle name="Normal" xfId="0" builtinId="0"/>
  </cellStyles>
  <dxfs count="117">
    <dxf>
      <alignment horizontal="center" vertical="center" textRotation="0" wrapText="0" indent="0" justifyLastLine="0" shrinkToFit="0" readingOrder="0"/>
    </dxf>
    <dxf>
      <alignment horizontal="center" vertical="center" textRotation="0" wrapText="0" indent="0" justifyLastLine="0" shrinkToFit="0" readingOrder="0"/>
    </dxf>
    <dxf>
      <numFmt numFmtId="165" formatCode="0.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0" indent="0" justifyLastLine="0" shrinkToFit="0" readingOrder="0"/>
    </dxf>
    <dxf>
      <alignment horizontal="center" vertical="center" textRotation="0" wrapText="0" indent="0" justifyLastLine="0" shrinkToFit="0" readingOrder="0"/>
    </dxf>
    <dxf>
      <font>
        <b/>
      </font>
      <fill>
        <patternFill patternType="solid">
          <fgColor indexed="64"/>
          <bgColor theme="4" tint="-0.249977111117893"/>
        </patternFill>
      </fill>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4" tint="-0.249977111117893"/>
        </patternFill>
      </fil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b val="0"/>
        <i val="0"/>
        <strike val="0"/>
        <condense val="0"/>
        <extend val="0"/>
        <outline val="0"/>
        <shadow val="0"/>
        <u val="none"/>
        <vertAlign val="baseline"/>
        <sz val="11"/>
        <color theme="1"/>
        <name val="Calibri"/>
        <family val="2"/>
        <scheme val="minor"/>
      </font>
      <numFmt numFmtId="167" formatCode="_(&quot;$&quot;* #,##0_);_(&quot;$&quot;* \(#,##0\);_(&quot;$&quot;* &quot;-&quot;??_);_(@_)"/>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66" formatCode="0.000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4" tint="-0.249977111117893"/>
        </patternFill>
      </fill>
      <alignment horizontal="center" vertical="center" textRotation="0" wrapText="0" indent="0" justifyLastLine="0" shrinkToFit="0" readingOrder="0"/>
    </dxf>
    <dxf>
      <fill>
        <patternFill patternType="solid">
          <fgColor indexed="64"/>
          <bgColor theme="8" tint="0.79998168889431442"/>
        </patternFill>
      </fill>
      <alignment horizontal="center" vertical="center" textRotation="0" wrapText="0" indent="0" justifyLastLine="0" shrinkToFit="0" readingOrder="0"/>
    </dxf>
    <dxf>
      <fill>
        <patternFill patternType="solid">
          <fgColor indexed="64"/>
          <bgColor theme="8" tint="0.79998168889431442"/>
        </patternFill>
      </fill>
      <alignment horizontal="center" vertical="center" textRotation="0" wrapText="0" indent="0" justifyLastLine="0" shrinkToFit="0" readingOrder="0"/>
    </dxf>
    <dxf>
      <alignment horizontal="center" vertical="center" textRotation="0" wrapText="0" indent="0" justifyLastLine="0" shrinkToFit="0" readingOrder="0"/>
    </dxf>
    <dxf>
      <fill>
        <patternFill patternType="solid">
          <fgColor indexed="64"/>
          <bgColor theme="8" tint="0.79998168889431442"/>
        </patternFill>
      </fill>
      <alignment horizontal="center" vertical="center" textRotation="0" wrapText="0" indent="0" justifyLastLine="0" shrinkToFit="0" readingOrder="0"/>
    </dxf>
    <dxf>
      <border outline="0">
        <left style="thin">
          <color indexed="64"/>
        </left>
        <top style="thin">
          <color indexed="64"/>
        </top>
        <bottom style="thin">
          <color indexed="64"/>
        </bottom>
      </border>
    </dxf>
    <dxf>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theme="4" tint="-0.249977111117893"/>
        </patternFill>
      </fill>
      <alignment horizontal="center" vertical="center" textRotation="0" wrapText="0" indent="0" justifyLastLine="0" shrinkToFit="0" readingOrder="0"/>
    </dxf>
    <dxf>
      <numFmt numFmtId="2" formatCode="0.00"/>
      <alignment horizontal="center" vertical="center" textRotation="0" wrapText="0" indent="0" justifyLastLine="0" shrinkToFit="0" readingOrder="0"/>
      <border diagonalUp="0" diagonalDown="0">
        <left/>
        <right style="thin">
          <color indexed="64"/>
        </right>
        <top/>
        <bottom/>
      </border>
    </dxf>
    <dxf>
      <numFmt numFmtId="166" formatCode="0.0000"/>
      <alignment horizontal="center" vertical="center" textRotation="0" wrapText="0" indent="0" justifyLastLine="0" shrinkToFit="0" readingOrder="0"/>
      <border diagonalUp="0" diagonalDown="0">
        <left style="thin">
          <color indexed="64"/>
        </left>
        <right/>
        <top/>
        <bottom/>
      </border>
    </dxf>
    <dxf>
      <numFmt numFmtId="2" formatCode="0.00"/>
      <alignment horizontal="center" vertical="center" textRotation="0" wrapText="0" indent="0" justifyLastLine="0" shrinkToFit="0" readingOrder="0"/>
      <border diagonalUp="0" diagonalDown="0">
        <left/>
        <right style="thin">
          <color indexed="64"/>
        </right>
        <top/>
        <bottom/>
      </border>
    </dxf>
    <dxf>
      <numFmt numFmtId="166" formatCode="0.0000"/>
      <alignment horizontal="center" vertical="center" textRotation="0" wrapText="0" indent="0" justifyLastLine="0" shrinkToFit="0" readingOrder="0"/>
      <border diagonalUp="0" diagonalDown="0">
        <left style="thin">
          <color indexed="64"/>
        </left>
        <right/>
        <top/>
        <bottom/>
      </border>
    </dxf>
    <dxf>
      <numFmt numFmtId="2" formatCode="0.00"/>
      <alignment horizontal="center" vertical="center" textRotation="0" wrapText="0" indent="0" justifyLastLine="0" shrinkToFit="0" readingOrder="0"/>
      <border diagonalUp="0" diagonalDown="0">
        <left/>
        <right style="thin">
          <color indexed="64"/>
        </right>
        <top/>
        <bottom/>
      </border>
    </dxf>
    <dxf>
      <numFmt numFmtId="166" formatCode="0.0000"/>
      <alignment horizontal="center" vertical="center" textRotation="0" wrapText="0" indent="0" justifyLastLine="0" shrinkToFit="0" readingOrder="0"/>
      <border diagonalUp="0" diagonalDown="0">
        <left style="thin">
          <color indexed="64"/>
        </left>
        <right/>
        <top/>
        <bottom/>
      </border>
    </dxf>
    <dxf>
      <numFmt numFmtId="2" formatCode="0.00"/>
      <alignment horizontal="center" vertical="center" textRotation="0" wrapText="0" indent="0" justifyLastLine="0" shrinkToFit="0" readingOrder="0"/>
      <border diagonalUp="0" diagonalDown="0">
        <left/>
        <right style="thin">
          <color indexed="64"/>
        </right>
        <top/>
        <bottom/>
      </border>
    </dxf>
    <dxf>
      <numFmt numFmtId="2" formatCode="0.00"/>
      <alignment horizontal="center" vertical="center" textRotation="0" wrapText="0" indent="0" justifyLastLine="0" shrinkToFit="0" readingOrder="0"/>
      <border diagonalUp="0" diagonalDown="0">
        <left style="thin">
          <color indexed="64"/>
        </left>
        <right/>
        <top/>
        <bottom/>
      </border>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numFmt numFmtId="165" formatCode="0.000"/>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border diagonalUp="0" diagonalDown="0">
        <left style="thin">
          <color indexed="64"/>
        </left>
        <right style="thin">
          <color indexed="64"/>
        </right>
        <top style="thin">
          <color indexed="64"/>
        </top>
        <bottom style="thin">
          <color indexed="64"/>
        </bottom>
      </border>
    </dxf>
    <dxf>
      <alignment horizontal="center" vertical="center" textRotation="0" indent="0" justifyLastLine="0" shrinkToFit="0" readingOrder="0"/>
    </dxf>
    <dxf>
      <alignment horizontal="center" vertical="center" textRotation="0" indent="0" justifyLastLine="0" shrinkToFit="0" readingOrder="0"/>
    </dxf>
    <dxf>
      <font>
        <strike val="0"/>
        <outline val="0"/>
        <shadow val="0"/>
        <u val="none"/>
        <vertAlign val="baseline"/>
        <name val="Calibri"/>
        <family val="2"/>
        <scheme val="minor"/>
      </font>
      <alignment horizontal="center" vertical="center" textRotation="0" wrapText="0" indent="0" justifyLastLine="0" shrinkToFit="0" readingOrder="0"/>
    </dxf>
    <dxf>
      <font>
        <strike val="0"/>
        <outline val="0"/>
        <shadow val="0"/>
        <u val="none"/>
        <vertAlign val="baseline"/>
        <name val="Calibri"/>
        <family val="2"/>
        <scheme val="minor"/>
      </font>
      <alignment horizontal="center" vertical="center" textRotation="0" wrapText="0" indent="0" justifyLastLine="0" shrinkToFit="0" readingOrder="0"/>
    </dxf>
    <dxf>
      <font>
        <strike val="0"/>
        <outline val="0"/>
        <shadow val="0"/>
        <u val="none"/>
        <vertAlign val="baseline"/>
        <name val="Calibri"/>
        <family val="2"/>
        <scheme val="minor"/>
      </font>
      <alignment horizontal="center" vertical="center" textRotation="0" wrapText="0" indent="0" justifyLastLine="0" shrinkToFit="0" readingOrder="0"/>
    </dxf>
    <dxf>
      <font>
        <strike val="0"/>
        <outline val="0"/>
        <shadow val="0"/>
        <u val="none"/>
        <vertAlign val="baseline"/>
        <name val="Calibri"/>
        <family val="2"/>
        <scheme val="minor"/>
      </font>
      <alignment horizontal="center" vertical="center" textRotation="0" wrapText="0" indent="0" justifyLastLine="0" shrinkToFit="0" readingOrder="0"/>
    </dxf>
    <dxf>
      <font>
        <strike val="0"/>
        <outline val="0"/>
        <shadow val="0"/>
        <u val="none"/>
        <vertAlign val="baseline"/>
        <name val="Calibri"/>
        <family val="2"/>
        <scheme val="minor"/>
      </font>
      <alignment horizontal="center" vertical="center" textRotation="0" wrapText="0" indent="0" justifyLastLine="0" shrinkToFit="0" readingOrder="0"/>
    </dxf>
    <dxf>
      <font>
        <b/>
        <strike val="0"/>
        <outline val="0"/>
        <shadow val="0"/>
        <u val="none"/>
        <vertAlign val="baseline"/>
        <name val="Calibri"/>
        <family val="2"/>
        <scheme val="minor"/>
      </font>
      <fill>
        <patternFill>
          <fgColor indexed="64"/>
          <bgColor theme="4" tint="-0.249977111117893"/>
        </patternFill>
      </fill>
      <alignment horizontal="center" vertical="center" textRotation="0" wrapText="0" indent="0" justifyLastLine="0" shrinkToFit="0" readingOrder="0"/>
    </dxf>
    <dxf>
      <font>
        <strike val="0"/>
        <outline val="0"/>
        <shadow val="0"/>
        <u val="none"/>
        <vertAlign val="baseline"/>
        <name val="Calibri"/>
        <family val="2"/>
        <scheme val="minor"/>
      </font>
      <alignment horizontal="center" vertical="center" textRotation="0" wrapText="0" indent="0" justifyLastLine="0" shrinkToFit="0" readingOrder="0"/>
    </dxf>
    <dxf>
      <font>
        <strike val="0"/>
        <outline val="0"/>
        <shadow val="0"/>
        <u val="none"/>
        <vertAlign val="baseline"/>
        <name val="Calibri"/>
        <family val="2"/>
        <scheme val="minor"/>
      </font>
      <alignment horizontal="center" vertical="center" textRotation="0" wrapText="0" indent="0" justifyLastLine="0" shrinkToFit="0" readingOrder="0"/>
    </dxf>
    <dxf>
      <font>
        <strike val="0"/>
        <outline val="0"/>
        <shadow val="0"/>
        <u val="none"/>
        <vertAlign val="baseline"/>
        <name val="Calibri"/>
        <family val="2"/>
        <scheme val="minor"/>
      </font>
      <alignment horizontal="center" vertical="center" textRotation="0" wrapText="0" indent="0" justifyLastLine="0" shrinkToFit="0" readingOrder="0"/>
    </dxf>
    <dxf>
      <font>
        <strike val="0"/>
        <outline val="0"/>
        <shadow val="0"/>
        <u val="none"/>
        <vertAlign val="baseline"/>
        <name val="Calibri"/>
        <family val="2"/>
        <scheme val="minor"/>
      </font>
      <alignment horizontal="center" vertical="center" textRotation="0" wrapText="0" indent="0" justifyLastLine="0" shrinkToFit="0" readingOrder="0"/>
    </dxf>
    <dxf>
      <font>
        <strike val="0"/>
        <outline val="0"/>
        <shadow val="0"/>
        <u val="none"/>
        <vertAlign val="baseline"/>
        <name val="Calibri"/>
        <family val="2"/>
        <scheme val="minor"/>
      </font>
      <alignment horizontal="center" vertical="center" textRotation="0" wrapText="0" indent="0" justifyLastLine="0" shrinkToFit="0" readingOrder="0"/>
    </dxf>
    <dxf>
      <font>
        <strike val="0"/>
        <outline val="0"/>
        <shadow val="0"/>
        <u val="none"/>
        <vertAlign val="baseline"/>
        <name val="Calibri"/>
        <family val="2"/>
        <scheme val="minor"/>
      </font>
      <alignment horizontal="center" vertical="center" textRotation="0" wrapText="0" indent="0" justifyLastLine="0" shrinkToFit="0" readingOrder="0"/>
    </dxf>
    <dxf>
      <font>
        <strike val="0"/>
        <outline val="0"/>
        <shadow val="0"/>
        <u val="none"/>
        <vertAlign val="baseline"/>
        <name val="Calibri"/>
        <family val="2"/>
        <scheme val="minor"/>
      </font>
      <alignment horizontal="center" vertical="center" textRotation="0" wrapText="0" indent="0" justifyLastLine="0" shrinkToFit="0" readingOrder="0"/>
    </dxf>
    <dxf>
      <font>
        <strike val="0"/>
        <outline val="0"/>
        <shadow val="0"/>
        <u val="none"/>
        <vertAlign val="baseline"/>
        <name val="Calibri"/>
        <family val="2"/>
        <scheme val="minor"/>
      </font>
      <alignment horizontal="center" vertical="center" textRotation="0" wrapText="0" indent="0" justifyLastLine="0" shrinkToFit="0" readingOrder="0"/>
    </dxf>
    <dxf>
      <font>
        <strike val="0"/>
        <outline val="0"/>
        <shadow val="0"/>
        <u val="none"/>
        <vertAlign val="baseline"/>
        <name val="Calibri"/>
        <family val="2"/>
        <scheme val="minor"/>
      </font>
      <alignment horizontal="center" vertical="center" textRotation="0" wrapText="0" indent="0" justifyLastLine="0" shrinkToFit="0" readingOrder="0"/>
    </dxf>
    <dxf>
      <font>
        <strike val="0"/>
        <outline val="0"/>
        <shadow val="0"/>
        <u val="none"/>
        <vertAlign val="baseline"/>
        <name val="Calibri"/>
        <family val="2"/>
        <scheme val="minor"/>
      </font>
      <alignment horizontal="center" vertical="center" textRotation="0" wrapText="0" indent="0" justifyLastLine="0" shrinkToFit="0" readingOrder="0"/>
    </dxf>
    <dxf>
      <font>
        <strike val="0"/>
        <outline val="0"/>
        <shadow val="0"/>
        <u val="none"/>
        <vertAlign val="baseline"/>
        <name val="Calibri"/>
        <family val="2"/>
        <scheme val="minor"/>
      </font>
      <alignment horizontal="center" vertical="center" textRotation="0" wrapText="0" indent="0" justifyLastLine="0" shrinkToFit="0" readingOrder="0"/>
    </dxf>
    <dxf>
      <font>
        <strike val="0"/>
        <outline val="0"/>
        <shadow val="0"/>
        <u val="none"/>
        <vertAlign val="baseline"/>
        <name val="Calibri"/>
        <family val="2"/>
        <scheme val="minor"/>
      </font>
      <alignment horizontal="center" vertical="center" textRotation="0" wrapText="0" indent="0" justifyLastLine="0" shrinkToFit="0" readingOrder="0"/>
    </dxf>
    <dxf>
      <font>
        <strike val="0"/>
        <outline val="0"/>
        <shadow val="0"/>
        <u val="none"/>
        <vertAlign val="baseline"/>
        <name val="Calibri"/>
        <family val="2"/>
        <scheme val="minor"/>
      </font>
      <alignment horizontal="center" vertical="center" textRotation="0" wrapText="0" indent="0" justifyLastLine="0" shrinkToFit="0" readingOrder="0"/>
    </dxf>
    <dxf>
      <font>
        <strike val="0"/>
        <outline val="0"/>
        <shadow val="0"/>
        <u val="none"/>
        <vertAlign val="baseline"/>
        <name val="Calibri"/>
        <family val="2"/>
        <scheme val="minor"/>
      </font>
      <alignment horizontal="center" vertical="center" textRotation="0" wrapText="0" indent="0" justifyLastLine="0" shrinkToFit="0" readingOrder="0"/>
    </dxf>
    <dxf>
      <font>
        <strike val="0"/>
        <outline val="0"/>
        <shadow val="0"/>
        <u val="none"/>
        <vertAlign val="baseline"/>
        <name val="Calibri"/>
        <family val="2"/>
        <scheme val="minor"/>
      </font>
      <alignment horizontal="center" vertical="center" textRotation="0" wrapText="0" indent="0" justifyLastLine="0" shrinkToFit="0" readingOrder="0"/>
    </dxf>
    <dxf>
      <font>
        <strike val="0"/>
        <outline val="0"/>
        <shadow val="0"/>
        <u val="none"/>
        <vertAlign val="baseline"/>
        <name val="Calibri"/>
        <family val="2"/>
        <scheme val="minor"/>
      </font>
      <alignment horizontal="center" vertical="center" textRotation="0" wrapText="0" indent="0" justifyLastLine="0" shrinkToFit="0" readingOrder="0"/>
    </dxf>
    <dxf>
      <font>
        <strike val="0"/>
        <outline val="0"/>
        <shadow val="0"/>
        <u val="none"/>
        <vertAlign val="baseline"/>
        <name val="Calibri"/>
        <family val="2"/>
        <scheme val="minor"/>
      </font>
      <alignment horizontal="center" vertical="center" textRotation="0" wrapText="0" indent="0" justifyLastLine="0" shrinkToFit="0" readingOrder="0"/>
    </dxf>
    <dxf>
      <font>
        <strike val="0"/>
        <outline val="0"/>
        <shadow val="0"/>
        <u val="none"/>
        <vertAlign val="baseline"/>
        <name val="Calibri"/>
        <family val="2"/>
        <scheme val="minor"/>
      </font>
      <alignment horizontal="center" vertical="center" textRotation="0" wrapText="0" indent="0" justifyLastLine="0" shrinkToFit="0" readingOrder="0"/>
    </dxf>
    <dxf>
      <font>
        <strike val="0"/>
        <outline val="0"/>
        <shadow val="0"/>
        <u val="none"/>
        <vertAlign val="baseline"/>
        <name val="Calibri"/>
        <family val="2"/>
        <scheme val="minor"/>
      </font>
      <fill>
        <patternFill>
          <fgColor indexed="64"/>
          <bgColor theme="4" tint="-0.249977111117893"/>
        </patternFill>
      </fill>
      <alignment horizontal="center" vertical="center" textRotation="0" wrapText="0" indent="0" justifyLastLine="0" shrinkToFit="0" readingOrder="0"/>
    </dxf>
    <dxf>
      <font>
        <strike val="0"/>
        <outline val="0"/>
        <shadow val="0"/>
        <u val="none"/>
        <vertAlign val="baseline"/>
        <name val="Calibri"/>
        <family val="2"/>
        <scheme val="minor"/>
      </font>
      <alignment horizontal="center" vertical="center" textRotation="0" wrapText="0" indent="0" justifyLastLine="0" shrinkToFit="0" readingOrder="0"/>
    </dxf>
    <dxf>
      <font>
        <strike val="0"/>
        <outline val="0"/>
        <shadow val="0"/>
        <u val="none"/>
        <vertAlign val="baseline"/>
        <name val="Calibri"/>
        <family val="2"/>
        <scheme val="minor"/>
      </font>
      <alignment horizontal="center" vertical="center" textRotation="0" wrapText="0" indent="0" justifyLastLine="0" shrinkToFit="0" readingOrder="0"/>
    </dxf>
    <dxf>
      <font>
        <strike val="0"/>
        <outline val="0"/>
        <shadow val="0"/>
        <u val="none"/>
        <vertAlign val="baseline"/>
        <name val="Calibri"/>
        <family val="2"/>
        <scheme val="minor"/>
      </font>
      <alignment horizontal="center" vertical="center" textRotation="0" wrapText="0" indent="0" justifyLastLine="0" shrinkToFit="0" readingOrder="0"/>
    </dxf>
    <dxf>
      <font>
        <strike val="0"/>
        <outline val="0"/>
        <shadow val="0"/>
        <u val="none"/>
        <vertAlign val="baseline"/>
        <name val="Calibri"/>
        <family val="2"/>
        <scheme val="minor"/>
      </font>
      <alignment horizontal="center" vertical="center" textRotation="0" wrapText="0" indent="0" justifyLastLine="0" shrinkToFit="0" readingOrder="0"/>
    </dxf>
    <dxf>
      <font>
        <strike val="0"/>
        <outline val="0"/>
        <shadow val="0"/>
        <u val="none"/>
        <vertAlign val="baseline"/>
        <name val="Calibri"/>
        <family val="2"/>
        <scheme val="minor"/>
      </font>
      <alignment horizontal="center" vertical="center" textRotation="0" wrapText="0" indent="0" justifyLastLine="0" shrinkToFit="0" readingOrder="0"/>
    </dxf>
    <dxf>
      <font>
        <strike val="0"/>
        <outline val="0"/>
        <shadow val="0"/>
        <u val="none"/>
        <vertAlign val="baseline"/>
        <name val="Calibri"/>
        <family val="2"/>
        <scheme val="minor"/>
      </font>
      <alignment horizontal="center" vertical="center" textRotation="0" wrapText="0" indent="0" justifyLastLine="0" shrinkToFit="0" readingOrder="0"/>
    </dxf>
    <dxf>
      <font>
        <strike val="0"/>
        <outline val="0"/>
        <shadow val="0"/>
        <u val="none"/>
        <vertAlign val="baseline"/>
        <name val="Calibri"/>
        <family val="2"/>
        <scheme val="minor"/>
      </font>
      <alignment horizontal="center" vertical="center" textRotation="0" wrapText="0" indent="0" justifyLastLine="0" shrinkToFit="0" readingOrder="0"/>
    </dxf>
    <dxf>
      <font>
        <strike val="0"/>
        <outline val="0"/>
        <shadow val="0"/>
        <u val="none"/>
        <vertAlign val="baseline"/>
        <name val="Calibri"/>
        <family val="2"/>
        <scheme val="minor"/>
      </font>
      <alignment horizontal="center" vertical="center" textRotation="0" wrapText="0" indent="0" justifyLastLine="0" shrinkToFit="0" readingOrder="0"/>
    </dxf>
    <dxf>
      <font>
        <strike val="0"/>
        <outline val="0"/>
        <shadow val="0"/>
        <u val="none"/>
        <vertAlign val="baseline"/>
        <name val="Calibri"/>
        <family val="2"/>
        <scheme val="minor"/>
      </font>
      <alignment horizontal="center" vertical="center" textRotation="0" wrapText="0" indent="0" justifyLastLine="0" shrinkToFit="0" readingOrder="0"/>
    </dxf>
  </dxfs>
  <tableStyles count="0" defaultTableStyle="TableStyleMedium2" defaultPivotStyle="PivotStyleLight16"/>
  <colors>
    <mruColors>
      <color rgb="FFCC00CC"/>
      <color rgb="FFFF5050"/>
      <color rgb="FF66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Weight</a:t>
            </a:r>
            <a:r>
              <a:rPr lang="en-US" baseline="0"/>
              <a:t> of different parts</a:t>
            </a:r>
            <a:endParaRPr lang="en-US"/>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tx>
            <c:strRef>
              <c:f>Weight!$C$52</c:f>
              <c:strCache>
                <c:ptCount val="1"/>
                <c:pt idx="0">
                  <c:v>Weight (kg)</c:v>
                </c:pt>
              </c:strCache>
            </c:strRef>
          </c:tx>
          <c:spPr>
            <a:solidFill>
              <a:schemeClr val="accent1">
                <a:alpha val="70000"/>
              </a:schemeClr>
            </a:solidFill>
            <a:ln>
              <a:noFill/>
            </a:ln>
            <a:effectLst/>
          </c:spPr>
          <c:invertIfNegative val="0"/>
          <c:cat>
            <c:strRef>
              <c:f>Weight!$B$53:$B$57</c:f>
              <c:strCache>
                <c:ptCount val="5"/>
                <c:pt idx="0">
                  <c:v>Shell</c:v>
                </c:pt>
                <c:pt idx="1">
                  <c:v>Plates</c:v>
                </c:pt>
                <c:pt idx="2">
                  <c:v>Heads</c:v>
                </c:pt>
                <c:pt idx="3">
                  <c:v>Weir wall</c:v>
                </c:pt>
                <c:pt idx="4">
                  <c:v>Other</c:v>
                </c:pt>
              </c:strCache>
            </c:strRef>
          </c:cat>
          <c:val>
            <c:numRef>
              <c:f>Weight!$C$53:$C$57</c:f>
              <c:numCache>
                <c:formatCode>0.0000</c:formatCode>
                <c:ptCount val="5"/>
                <c:pt idx="0">
                  <c:v>379.41223173403404</c:v>
                </c:pt>
                <c:pt idx="1">
                  <c:v>142.17598139377102</c:v>
                </c:pt>
                <c:pt idx="2">
                  <c:v>37.116282307293375</c:v>
                </c:pt>
                <c:pt idx="3">
                  <c:v>62.763311697407985</c:v>
                </c:pt>
                <c:pt idx="4">
                  <c:v>93.22017106987596</c:v>
                </c:pt>
              </c:numCache>
            </c:numRef>
          </c:val>
          <c:extLst>
            <c:ext xmlns:c16="http://schemas.microsoft.com/office/drawing/2014/chart" uri="{C3380CC4-5D6E-409C-BE32-E72D297353CC}">
              <c16:uniqueId val="{00000000-2A3C-4D1A-BC22-8EE0D8BD40F9}"/>
            </c:ext>
          </c:extLst>
        </c:ser>
        <c:dLbls>
          <c:showLegendKey val="0"/>
          <c:showVal val="0"/>
          <c:showCatName val="0"/>
          <c:showSerName val="0"/>
          <c:showPercent val="0"/>
          <c:showBubbleSize val="0"/>
        </c:dLbls>
        <c:gapWidth val="80"/>
        <c:overlap val="25"/>
        <c:axId val="2072504768"/>
        <c:axId val="588798048"/>
      </c:barChart>
      <c:catAx>
        <c:axId val="2072504768"/>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588798048"/>
        <c:crosses val="autoZero"/>
        <c:auto val="1"/>
        <c:lblAlgn val="ctr"/>
        <c:lblOffset val="100"/>
        <c:noMultiLvlLbl val="0"/>
      </c:catAx>
      <c:valAx>
        <c:axId val="588798048"/>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Weight (kg)</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2072504768"/>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hyperlink" Target="#Weight!A1"/><Relationship Id="rId3" Type="http://schemas.openxmlformats.org/officeDocument/2006/relationships/hyperlink" Target="#Properties!A1"/><Relationship Id="rId7" Type="http://schemas.openxmlformats.org/officeDocument/2006/relationships/hyperlink" Target="#'Plate Layout'!A1"/><Relationship Id="rId2" Type="http://schemas.openxmlformats.org/officeDocument/2006/relationships/hyperlink" Target="#Introduction!A1"/><Relationship Id="rId1" Type="http://schemas.openxmlformats.org/officeDocument/2006/relationships/image" Target="../media/image1.png"/><Relationship Id="rId6" Type="http://schemas.openxmlformats.org/officeDocument/2006/relationships/hyperlink" Target="#'Plate Design Part II'!A1"/><Relationship Id="rId11" Type="http://schemas.openxmlformats.org/officeDocument/2006/relationships/hyperlink" Target="#'Mechanical Design'!A1"/><Relationship Id="rId5" Type="http://schemas.openxmlformats.org/officeDocument/2006/relationships/hyperlink" Target="#'Plate Design Part I'!A1"/><Relationship Id="rId10" Type="http://schemas.openxmlformats.org/officeDocument/2006/relationships/hyperlink" Target="#'Column DataSheet'!A1"/><Relationship Id="rId4" Type="http://schemas.openxmlformats.org/officeDocument/2006/relationships/hyperlink" Target="#'Diameter Calc.'!A1"/><Relationship Id="rId9" Type="http://schemas.openxmlformats.org/officeDocument/2006/relationships/hyperlink" Target="#Cost!A1"/></Relationships>
</file>

<file path=xl/drawings/_rels/drawing10.xml.rels><?xml version="1.0" encoding="UTF-8" standalone="yes"?>
<Relationships xmlns="http://schemas.openxmlformats.org/package/2006/relationships"><Relationship Id="rId3" Type="http://schemas.openxmlformats.org/officeDocument/2006/relationships/image" Target="../media/image27.png"/><Relationship Id="rId2" Type="http://schemas.openxmlformats.org/officeDocument/2006/relationships/image" Target="../media/image24.png"/><Relationship Id="rId1" Type="http://schemas.openxmlformats.org/officeDocument/2006/relationships/image" Target="../media/image26.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4.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4" Type="http://schemas.openxmlformats.org/officeDocument/2006/relationships/image" Target="../media/image10.png"/></Relationships>
</file>

<file path=xl/drawings/_rels/drawing5.xml.rels><?xml version="1.0" encoding="UTF-8" standalone="yes"?>
<Relationships xmlns="http://schemas.openxmlformats.org/package/2006/relationships"><Relationship Id="rId8" Type="http://schemas.openxmlformats.org/officeDocument/2006/relationships/image" Target="../media/image18.png"/><Relationship Id="rId3" Type="http://schemas.openxmlformats.org/officeDocument/2006/relationships/image" Target="../media/image13.png"/><Relationship Id="rId7" Type="http://schemas.openxmlformats.org/officeDocument/2006/relationships/image" Target="../media/image17.png"/><Relationship Id="rId2" Type="http://schemas.openxmlformats.org/officeDocument/2006/relationships/image" Target="../media/image12.png"/><Relationship Id="rId1" Type="http://schemas.openxmlformats.org/officeDocument/2006/relationships/image" Target="../media/image11.png"/><Relationship Id="rId6" Type="http://schemas.openxmlformats.org/officeDocument/2006/relationships/image" Target="../media/image16.png"/><Relationship Id="rId11" Type="http://schemas.openxmlformats.org/officeDocument/2006/relationships/image" Target="../media/image21.png"/><Relationship Id="rId5" Type="http://schemas.openxmlformats.org/officeDocument/2006/relationships/image" Target="../media/image15.png"/><Relationship Id="rId10" Type="http://schemas.openxmlformats.org/officeDocument/2006/relationships/image" Target="../media/image20.png"/><Relationship Id="rId4" Type="http://schemas.openxmlformats.org/officeDocument/2006/relationships/image" Target="../media/image14.png"/><Relationship Id="rId9" Type="http://schemas.openxmlformats.org/officeDocument/2006/relationships/image" Target="../media/image19.png"/></Relationships>
</file>

<file path=xl/drawings/_rels/drawing6.xml.rels><?xml version="1.0" encoding="UTF-8" standalone="yes"?>
<Relationships xmlns="http://schemas.openxmlformats.org/package/2006/relationships"><Relationship Id="rId3" Type="http://schemas.openxmlformats.org/officeDocument/2006/relationships/image" Target="../media/image24.png"/><Relationship Id="rId2" Type="http://schemas.openxmlformats.org/officeDocument/2006/relationships/image" Target="../media/image23.png"/><Relationship Id="rId1" Type="http://schemas.openxmlformats.org/officeDocument/2006/relationships/image" Target="../media/image22.png"/><Relationship Id="rId5" Type="http://schemas.openxmlformats.org/officeDocument/2006/relationships/image" Target="../media/image26.png"/><Relationship Id="rId4" Type="http://schemas.openxmlformats.org/officeDocument/2006/relationships/image" Target="../media/image25.png"/></Relationships>
</file>

<file path=xl/drawings/_rels/drawing7.xml.rels><?xml version="1.0" encoding="UTF-8" standalone="yes"?>
<Relationships xmlns="http://schemas.openxmlformats.org/package/2006/relationships"><Relationship Id="rId3" Type="http://schemas.openxmlformats.org/officeDocument/2006/relationships/image" Target="../media/image28.png"/><Relationship Id="rId2" Type="http://schemas.openxmlformats.org/officeDocument/2006/relationships/chart" Target="../charts/chart1.xml"/><Relationship Id="rId1" Type="http://schemas.openxmlformats.org/officeDocument/2006/relationships/image" Target="../media/image27.png"/><Relationship Id="rId4" Type="http://schemas.openxmlformats.org/officeDocument/2006/relationships/image" Target="../media/image29.png"/></Relationships>
</file>

<file path=xl/drawings/_rels/drawing8.xml.rels><?xml version="1.0" encoding="UTF-8" standalone="yes"?>
<Relationships xmlns="http://schemas.openxmlformats.org/package/2006/relationships"><Relationship Id="rId2" Type="http://schemas.openxmlformats.org/officeDocument/2006/relationships/image" Target="../media/image31.png"/><Relationship Id="rId1" Type="http://schemas.openxmlformats.org/officeDocument/2006/relationships/image" Target="../media/image30.png"/></Relationships>
</file>

<file path=xl/drawings/_rels/drawing9.xml.rels><?xml version="1.0" encoding="UTF-8" standalone="yes"?>
<Relationships xmlns="http://schemas.openxmlformats.org/package/2006/relationships"><Relationship Id="rId1" Type="http://schemas.openxmlformats.org/officeDocument/2006/relationships/image" Target="../media/image32.png"/></Relationships>
</file>

<file path=xl/drawings/drawing1.xml><?xml version="1.0" encoding="utf-8"?>
<xdr:wsDr xmlns:xdr="http://schemas.openxmlformats.org/drawingml/2006/spreadsheetDrawing" xmlns:a="http://schemas.openxmlformats.org/drawingml/2006/main">
  <xdr:twoCellAnchor editAs="oneCell">
    <xdr:from>
      <xdr:col>10</xdr:col>
      <xdr:colOff>342900</xdr:colOff>
      <xdr:row>4</xdr:row>
      <xdr:rowOff>76200</xdr:rowOff>
    </xdr:from>
    <xdr:to>
      <xdr:col>33</xdr:col>
      <xdr:colOff>135401</xdr:colOff>
      <xdr:row>42</xdr:row>
      <xdr:rowOff>38100</xdr:rowOff>
    </xdr:to>
    <xdr:pic>
      <xdr:nvPicPr>
        <xdr:cNvPr id="2" name="Picture 1">
          <a:extLst>
            <a:ext uri="{FF2B5EF4-FFF2-40B4-BE49-F238E27FC236}">
              <a16:creationId xmlns:a16="http://schemas.microsoft.com/office/drawing/2014/main" id="{12CA424C-FFE2-23A0-82B9-E86AA4E3C36E}"/>
            </a:ext>
          </a:extLst>
        </xdr:cNvPr>
        <xdr:cNvPicPr>
          <a:picLocks noChangeAspect="1"/>
        </xdr:cNvPicPr>
      </xdr:nvPicPr>
      <xdr:blipFill>
        <a:blip xmlns:r="http://schemas.openxmlformats.org/officeDocument/2006/relationships" r:embed="rId1">
          <a:alphaModFix amt="85000"/>
        </a:blip>
        <a:stretch>
          <a:fillRect/>
        </a:stretch>
      </xdr:blipFill>
      <xdr:spPr>
        <a:xfrm>
          <a:off x="6438900" y="787400"/>
          <a:ext cx="13813301" cy="6718300"/>
        </a:xfrm>
        <a:prstGeom prst="rect">
          <a:avLst/>
        </a:prstGeom>
        <a:effectLst>
          <a:softEdge rad="254000"/>
        </a:effectLst>
      </xdr:spPr>
    </xdr:pic>
    <xdr:clientData/>
  </xdr:twoCellAnchor>
  <xdr:twoCellAnchor>
    <xdr:from>
      <xdr:col>12</xdr:col>
      <xdr:colOff>304800</xdr:colOff>
      <xdr:row>6</xdr:row>
      <xdr:rowOff>63500</xdr:rowOff>
    </xdr:from>
    <xdr:to>
      <xdr:col>15</xdr:col>
      <xdr:colOff>165100</xdr:colOff>
      <xdr:row>10</xdr:row>
      <xdr:rowOff>101600</xdr:rowOff>
    </xdr:to>
    <xdr:sp macro="" textlink="">
      <xdr:nvSpPr>
        <xdr:cNvPr id="3" name="TextBox 2">
          <a:hlinkClick xmlns:r="http://schemas.openxmlformats.org/officeDocument/2006/relationships" r:id="rId2"/>
          <a:extLst>
            <a:ext uri="{FF2B5EF4-FFF2-40B4-BE49-F238E27FC236}">
              <a16:creationId xmlns:a16="http://schemas.microsoft.com/office/drawing/2014/main" id="{43C4B939-81AD-F918-BB62-C5DB04B5605E}"/>
            </a:ext>
          </a:extLst>
        </xdr:cNvPr>
        <xdr:cNvSpPr txBox="1"/>
      </xdr:nvSpPr>
      <xdr:spPr>
        <a:xfrm>
          <a:off x="7620000" y="1130300"/>
          <a:ext cx="1689100" cy="749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Introduction</a:t>
          </a:r>
          <a:endParaRPr lang="en-US" sz="1200" b="1"/>
        </a:p>
      </xdr:txBody>
    </xdr:sp>
    <xdr:clientData/>
  </xdr:twoCellAnchor>
  <xdr:twoCellAnchor>
    <xdr:from>
      <xdr:col>12</xdr:col>
      <xdr:colOff>304800</xdr:colOff>
      <xdr:row>11</xdr:row>
      <xdr:rowOff>165100</xdr:rowOff>
    </xdr:from>
    <xdr:to>
      <xdr:col>15</xdr:col>
      <xdr:colOff>165100</xdr:colOff>
      <xdr:row>16</xdr:row>
      <xdr:rowOff>25400</xdr:rowOff>
    </xdr:to>
    <xdr:sp macro="" textlink="">
      <xdr:nvSpPr>
        <xdr:cNvPr id="8" name="TextBox 7">
          <a:hlinkClick xmlns:r="http://schemas.openxmlformats.org/officeDocument/2006/relationships" r:id="rId3"/>
          <a:extLst>
            <a:ext uri="{FF2B5EF4-FFF2-40B4-BE49-F238E27FC236}">
              <a16:creationId xmlns:a16="http://schemas.microsoft.com/office/drawing/2014/main" id="{8668B83B-CE34-3B91-2E36-4DC6FBECF79B}"/>
            </a:ext>
          </a:extLst>
        </xdr:cNvPr>
        <xdr:cNvSpPr txBox="1"/>
      </xdr:nvSpPr>
      <xdr:spPr>
        <a:xfrm>
          <a:off x="7620000" y="2120900"/>
          <a:ext cx="1689100" cy="749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Properties</a:t>
          </a:r>
          <a:endParaRPr lang="en-US" sz="1200" b="1"/>
        </a:p>
      </xdr:txBody>
    </xdr:sp>
    <xdr:clientData/>
  </xdr:twoCellAnchor>
  <xdr:twoCellAnchor>
    <xdr:from>
      <xdr:col>12</xdr:col>
      <xdr:colOff>304800</xdr:colOff>
      <xdr:row>17</xdr:row>
      <xdr:rowOff>63500</xdr:rowOff>
    </xdr:from>
    <xdr:to>
      <xdr:col>15</xdr:col>
      <xdr:colOff>165100</xdr:colOff>
      <xdr:row>21</xdr:row>
      <xdr:rowOff>101600</xdr:rowOff>
    </xdr:to>
    <xdr:sp macro="" textlink="">
      <xdr:nvSpPr>
        <xdr:cNvPr id="9" name="TextBox 8">
          <a:hlinkClick xmlns:r="http://schemas.openxmlformats.org/officeDocument/2006/relationships" r:id="rId4"/>
          <a:extLst>
            <a:ext uri="{FF2B5EF4-FFF2-40B4-BE49-F238E27FC236}">
              <a16:creationId xmlns:a16="http://schemas.microsoft.com/office/drawing/2014/main" id="{5A23509D-3BA4-1D48-9378-89994011442F}"/>
            </a:ext>
          </a:extLst>
        </xdr:cNvPr>
        <xdr:cNvSpPr txBox="1"/>
      </xdr:nvSpPr>
      <xdr:spPr>
        <a:xfrm>
          <a:off x="7620000" y="3086100"/>
          <a:ext cx="1689100" cy="749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Diameter Calc.</a:t>
          </a:r>
          <a:endParaRPr lang="en-US" sz="1200" b="1"/>
        </a:p>
      </xdr:txBody>
    </xdr:sp>
    <xdr:clientData/>
  </xdr:twoCellAnchor>
  <xdr:twoCellAnchor>
    <xdr:from>
      <xdr:col>12</xdr:col>
      <xdr:colOff>304800</xdr:colOff>
      <xdr:row>22</xdr:row>
      <xdr:rowOff>76200</xdr:rowOff>
    </xdr:from>
    <xdr:to>
      <xdr:col>15</xdr:col>
      <xdr:colOff>165100</xdr:colOff>
      <xdr:row>26</xdr:row>
      <xdr:rowOff>114300</xdr:rowOff>
    </xdr:to>
    <xdr:sp macro="" textlink="">
      <xdr:nvSpPr>
        <xdr:cNvPr id="10" name="TextBox 9">
          <a:hlinkClick xmlns:r="http://schemas.openxmlformats.org/officeDocument/2006/relationships" r:id="rId5"/>
          <a:extLst>
            <a:ext uri="{FF2B5EF4-FFF2-40B4-BE49-F238E27FC236}">
              <a16:creationId xmlns:a16="http://schemas.microsoft.com/office/drawing/2014/main" id="{B7E18B66-B92B-C49E-140F-B0B7B1EE4DBD}"/>
            </a:ext>
          </a:extLst>
        </xdr:cNvPr>
        <xdr:cNvSpPr txBox="1"/>
      </xdr:nvSpPr>
      <xdr:spPr>
        <a:xfrm>
          <a:off x="7620000" y="3987800"/>
          <a:ext cx="1689100" cy="749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Plate Design</a:t>
          </a:r>
        </a:p>
        <a:p>
          <a:pPr algn="ctr"/>
          <a:r>
            <a:rPr lang="en-US" sz="1800" b="1"/>
            <a:t>Part</a:t>
          </a:r>
          <a:r>
            <a:rPr lang="en-US" sz="1800" b="1" baseline="0"/>
            <a:t> I</a:t>
          </a:r>
          <a:endParaRPr lang="en-US" sz="1200" b="1"/>
        </a:p>
      </xdr:txBody>
    </xdr:sp>
    <xdr:clientData/>
  </xdr:twoCellAnchor>
  <xdr:twoCellAnchor>
    <xdr:from>
      <xdr:col>12</xdr:col>
      <xdr:colOff>304800</xdr:colOff>
      <xdr:row>27</xdr:row>
      <xdr:rowOff>165100</xdr:rowOff>
    </xdr:from>
    <xdr:to>
      <xdr:col>15</xdr:col>
      <xdr:colOff>165100</xdr:colOff>
      <xdr:row>32</xdr:row>
      <xdr:rowOff>25400</xdr:rowOff>
    </xdr:to>
    <xdr:sp macro="" textlink="">
      <xdr:nvSpPr>
        <xdr:cNvPr id="11" name="TextBox 10">
          <a:hlinkClick xmlns:r="http://schemas.openxmlformats.org/officeDocument/2006/relationships" r:id="rId6"/>
          <a:extLst>
            <a:ext uri="{FF2B5EF4-FFF2-40B4-BE49-F238E27FC236}">
              <a16:creationId xmlns:a16="http://schemas.microsoft.com/office/drawing/2014/main" id="{8BE846D6-1FFB-060D-30D6-9DE25E43B711}"/>
            </a:ext>
          </a:extLst>
        </xdr:cNvPr>
        <xdr:cNvSpPr txBox="1"/>
      </xdr:nvSpPr>
      <xdr:spPr>
        <a:xfrm>
          <a:off x="7620000" y="4965700"/>
          <a:ext cx="1689100" cy="749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Plate Design</a:t>
          </a:r>
        </a:p>
        <a:p>
          <a:pPr algn="ctr"/>
          <a:r>
            <a:rPr lang="en-US" sz="1800" b="1"/>
            <a:t>Part II</a:t>
          </a:r>
        </a:p>
      </xdr:txBody>
    </xdr:sp>
    <xdr:clientData/>
  </xdr:twoCellAnchor>
  <xdr:twoCellAnchor>
    <xdr:from>
      <xdr:col>28</xdr:col>
      <xdr:colOff>101600</xdr:colOff>
      <xdr:row>6</xdr:row>
      <xdr:rowOff>63500</xdr:rowOff>
    </xdr:from>
    <xdr:to>
      <xdr:col>30</xdr:col>
      <xdr:colOff>571500</xdr:colOff>
      <xdr:row>10</xdr:row>
      <xdr:rowOff>101600</xdr:rowOff>
    </xdr:to>
    <xdr:sp macro="" textlink="">
      <xdr:nvSpPr>
        <xdr:cNvPr id="12" name="TextBox 11">
          <a:hlinkClick xmlns:r="http://schemas.openxmlformats.org/officeDocument/2006/relationships" r:id="rId7"/>
          <a:extLst>
            <a:ext uri="{FF2B5EF4-FFF2-40B4-BE49-F238E27FC236}">
              <a16:creationId xmlns:a16="http://schemas.microsoft.com/office/drawing/2014/main" id="{15B4796C-B1D4-A5F9-4E73-AFF26F09ECAE}"/>
            </a:ext>
          </a:extLst>
        </xdr:cNvPr>
        <xdr:cNvSpPr txBox="1"/>
      </xdr:nvSpPr>
      <xdr:spPr>
        <a:xfrm>
          <a:off x="17170400" y="1130300"/>
          <a:ext cx="1689100" cy="749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Plate Layout</a:t>
          </a:r>
          <a:endParaRPr lang="en-US" sz="1200" b="1"/>
        </a:p>
      </xdr:txBody>
    </xdr:sp>
    <xdr:clientData/>
  </xdr:twoCellAnchor>
  <xdr:twoCellAnchor>
    <xdr:from>
      <xdr:col>28</xdr:col>
      <xdr:colOff>101600</xdr:colOff>
      <xdr:row>11</xdr:row>
      <xdr:rowOff>101600</xdr:rowOff>
    </xdr:from>
    <xdr:to>
      <xdr:col>30</xdr:col>
      <xdr:colOff>571500</xdr:colOff>
      <xdr:row>15</xdr:row>
      <xdr:rowOff>139700</xdr:rowOff>
    </xdr:to>
    <xdr:sp macro="" textlink="">
      <xdr:nvSpPr>
        <xdr:cNvPr id="13" name="TextBox 12">
          <a:hlinkClick xmlns:r="http://schemas.openxmlformats.org/officeDocument/2006/relationships" r:id="rId8"/>
          <a:extLst>
            <a:ext uri="{FF2B5EF4-FFF2-40B4-BE49-F238E27FC236}">
              <a16:creationId xmlns:a16="http://schemas.microsoft.com/office/drawing/2014/main" id="{33EAC60E-93C1-BDB6-FF05-854B17AE1814}"/>
            </a:ext>
          </a:extLst>
        </xdr:cNvPr>
        <xdr:cNvSpPr txBox="1"/>
      </xdr:nvSpPr>
      <xdr:spPr>
        <a:xfrm>
          <a:off x="17170400" y="2057400"/>
          <a:ext cx="1689100" cy="749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Weight</a:t>
          </a:r>
          <a:endParaRPr lang="en-US" sz="1200" b="1"/>
        </a:p>
      </xdr:txBody>
    </xdr:sp>
    <xdr:clientData/>
  </xdr:twoCellAnchor>
  <xdr:twoCellAnchor>
    <xdr:from>
      <xdr:col>28</xdr:col>
      <xdr:colOff>101600</xdr:colOff>
      <xdr:row>16</xdr:row>
      <xdr:rowOff>152400</xdr:rowOff>
    </xdr:from>
    <xdr:to>
      <xdr:col>30</xdr:col>
      <xdr:colOff>571500</xdr:colOff>
      <xdr:row>21</xdr:row>
      <xdr:rowOff>12700</xdr:rowOff>
    </xdr:to>
    <xdr:sp macro="" textlink="">
      <xdr:nvSpPr>
        <xdr:cNvPr id="14" name="TextBox 13">
          <a:hlinkClick xmlns:r="http://schemas.openxmlformats.org/officeDocument/2006/relationships" r:id="rId9"/>
          <a:extLst>
            <a:ext uri="{FF2B5EF4-FFF2-40B4-BE49-F238E27FC236}">
              <a16:creationId xmlns:a16="http://schemas.microsoft.com/office/drawing/2014/main" id="{CEECE4E4-DE59-1DC2-015D-FCF1525FF2F3}"/>
            </a:ext>
          </a:extLst>
        </xdr:cNvPr>
        <xdr:cNvSpPr txBox="1"/>
      </xdr:nvSpPr>
      <xdr:spPr>
        <a:xfrm>
          <a:off x="17170400" y="2997200"/>
          <a:ext cx="1689100" cy="749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Cost</a:t>
          </a:r>
          <a:endParaRPr lang="en-US" sz="1200" b="1"/>
        </a:p>
      </xdr:txBody>
    </xdr:sp>
    <xdr:clientData/>
  </xdr:twoCellAnchor>
  <xdr:twoCellAnchor>
    <xdr:from>
      <xdr:col>28</xdr:col>
      <xdr:colOff>101600</xdr:colOff>
      <xdr:row>22</xdr:row>
      <xdr:rowOff>12700</xdr:rowOff>
    </xdr:from>
    <xdr:to>
      <xdr:col>30</xdr:col>
      <xdr:colOff>571500</xdr:colOff>
      <xdr:row>26</xdr:row>
      <xdr:rowOff>50800</xdr:rowOff>
    </xdr:to>
    <xdr:sp macro="" textlink="">
      <xdr:nvSpPr>
        <xdr:cNvPr id="15" name="TextBox 14">
          <a:hlinkClick xmlns:r="http://schemas.openxmlformats.org/officeDocument/2006/relationships" r:id="rId10"/>
          <a:extLst>
            <a:ext uri="{FF2B5EF4-FFF2-40B4-BE49-F238E27FC236}">
              <a16:creationId xmlns:a16="http://schemas.microsoft.com/office/drawing/2014/main" id="{4EAD8ED5-B5FF-015A-C786-B79A2BFF4D2C}"/>
            </a:ext>
          </a:extLst>
        </xdr:cNvPr>
        <xdr:cNvSpPr txBox="1"/>
      </xdr:nvSpPr>
      <xdr:spPr>
        <a:xfrm>
          <a:off x="17170400" y="3924300"/>
          <a:ext cx="1689100" cy="749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Column DataSheet</a:t>
          </a:r>
          <a:endParaRPr lang="en-US" sz="1200" b="1"/>
        </a:p>
      </xdr:txBody>
    </xdr:sp>
    <xdr:clientData/>
  </xdr:twoCellAnchor>
  <xdr:twoCellAnchor>
    <xdr:from>
      <xdr:col>28</xdr:col>
      <xdr:colOff>101600</xdr:colOff>
      <xdr:row>27</xdr:row>
      <xdr:rowOff>127000</xdr:rowOff>
    </xdr:from>
    <xdr:to>
      <xdr:col>30</xdr:col>
      <xdr:colOff>571500</xdr:colOff>
      <xdr:row>31</xdr:row>
      <xdr:rowOff>165100</xdr:rowOff>
    </xdr:to>
    <xdr:sp macro="" textlink="">
      <xdr:nvSpPr>
        <xdr:cNvPr id="16" name="TextBox 15">
          <a:hlinkClick xmlns:r="http://schemas.openxmlformats.org/officeDocument/2006/relationships" r:id="rId11"/>
          <a:extLst>
            <a:ext uri="{FF2B5EF4-FFF2-40B4-BE49-F238E27FC236}">
              <a16:creationId xmlns:a16="http://schemas.microsoft.com/office/drawing/2014/main" id="{7C96001A-A9E7-BA1F-9C43-414CD9CF6C04}"/>
            </a:ext>
          </a:extLst>
        </xdr:cNvPr>
        <xdr:cNvSpPr txBox="1"/>
      </xdr:nvSpPr>
      <xdr:spPr>
        <a:xfrm>
          <a:off x="17170400" y="4927600"/>
          <a:ext cx="1689100" cy="749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Mechanical</a:t>
          </a:r>
        </a:p>
        <a:p>
          <a:pPr algn="ctr"/>
          <a:r>
            <a:rPr lang="en-US" sz="1800" b="1"/>
            <a:t>Design</a:t>
          </a:r>
          <a:endParaRPr lang="en-US" sz="1200" b="1"/>
        </a:p>
      </xdr:txBody>
    </xdr:sp>
    <xdr:clientData/>
  </xdr:twoCellAnchor>
  <xdr:twoCellAnchor>
    <xdr:from>
      <xdr:col>0</xdr:col>
      <xdr:colOff>469900</xdr:colOff>
      <xdr:row>5</xdr:row>
      <xdr:rowOff>139700</xdr:rowOff>
    </xdr:from>
    <xdr:to>
      <xdr:col>10</xdr:col>
      <xdr:colOff>254000</xdr:colOff>
      <xdr:row>41</xdr:row>
      <xdr:rowOff>38100</xdr:rowOff>
    </xdr:to>
    <xdr:sp macro="" textlink="">
      <xdr:nvSpPr>
        <xdr:cNvPr id="17" name="TextBox 16">
          <a:extLst>
            <a:ext uri="{FF2B5EF4-FFF2-40B4-BE49-F238E27FC236}">
              <a16:creationId xmlns:a16="http://schemas.microsoft.com/office/drawing/2014/main" id="{B9A7717E-A0B4-CAA5-33BE-E8407484B44E}"/>
            </a:ext>
          </a:extLst>
        </xdr:cNvPr>
        <xdr:cNvSpPr txBox="1"/>
      </xdr:nvSpPr>
      <xdr:spPr>
        <a:xfrm>
          <a:off x="469900" y="1028700"/>
          <a:ext cx="5880100" cy="6299200"/>
        </a:xfrm>
        <a:prstGeom prst="rect">
          <a:avLst/>
        </a:prstGeom>
        <a:solidFill>
          <a:schemeClr val="accent5">
            <a:lumMod val="20000"/>
            <a:lumOff val="80000"/>
          </a:schemeClr>
        </a:solidFill>
        <a:ln w="9525" cmpd="sng">
          <a:solidFill>
            <a:schemeClr val="lt1">
              <a:shade val="50000"/>
            </a:schemeClr>
          </a:solidFill>
        </a:ln>
        <a:effectLst>
          <a:softEdge rad="3175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2400" b="1"/>
        </a:p>
        <a:p>
          <a:pPr algn="ctr"/>
          <a:r>
            <a:rPr lang="en-US" sz="2400" b="1"/>
            <a:t>Distillation Column Design</a:t>
          </a:r>
        </a:p>
        <a:p>
          <a:pPr algn="ctr"/>
          <a:endParaRPr lang="en-US" sz="2400"/>
        </a:p>
        <a:p>
          <a:pPr algn="ctr"/>
          <a:r>
            <a:rPr lang="en-US" sz="2000"/>
            <a:t>Course</a:t>
          </a:r>
          <a:r>
            <a:rPr lang="en-US" sz="2000" baseline="0"/>
            <a:t> Teacher: </a:t>
          </a:r>
          <a:r>
            <a:rPr lang="en-US" sz="2400" b="1" baseline="0"/>
            <a:t>Prof. Farhadi</a:t>
          </a:r>
        </a:p>
        <a:p>
          <a:pPr algn="ctr"/>
          <a:r>
            <a:rPr lang="en-US" sz="2000" baseline="0"/>
            <a:t>TA:</a:t>
          </a:r>
          <a:r>
            <a:rPr lang="en-US" sz="2400" baseline="0"/>
            <a:t> </a:t>
          </a:r>
          <a:r>
            <a:rPr lang="en-US" sz="2400" b="1" baseline="0"/>
            <a:t>Mr. Heidari</a:t>
          </a:r>
        </a:p>
        <a:p>
          <a:pPr algn="ctr"/>
          <a:endParaRPr lang="en-US" sz="2400" baseline="0"/>
        </a:p>
        <a:p>
          <a:pPr algn="ctr"/>
          <a:r>
            <a:rPr lang="en-US" sz="2000" baseline="0"/>
            <a:t>Group Members:</a:t>
          </a:r>
        </a:p>
        <a:p>
          <a:pPr algn="ctr"/>
          <a:r>
            <a:rPr lang="en-US" sz="2400" b="1" baseline="0"/>
            <a:t>Mohammad Homanloo</a:t>
          </a:r>
          <a:r>
            <a:rPr lang="en-US" sz="2400" baseline="0"/>
            <a:t>	</a:t>
          </a:r>
          <a:r>
            <a:rPr lang="en-US" sz="2400" b="1" baseline="0"/>
            <a:t>Matin Lashgari</a:t>
          </a:r>
        </a:p>
        <a:p>
          <a:pPr algn="ctr"/>
          <a:endParaRPr lang="en-US" sz="2400" baseline="0"/>
        </a:p>
        <a:p>
          <a:pPr algn="ctr"/>
          <a:endParaRPr lang="en-US" sz="2400"/>
        </a:p>
        <a:p>
          <a:pPr algn="ctr"/>
          <a:endParaRPr lang="en-US" sz="2400"/>
        </a:p>
        <a:p>
          <a:pPr algn="ctr"/>
          <a:r>
            <a:rPr lang="en-US" sz="2000"/>
            <a:t>Spring 2023</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381001</xdr:colOff>
      <xdr:row>1</xdr:row>
      <xdr:rowOff>1</xdr:rowOff>
    </xdr:from>
    <xdr:to>
      <xdr:col>11</xdr:col>
      <xdr:colOff>552451</xdr:colOff>
      <xdr:row>18</xdr:row>
      <xdr:rowOff>109301</xdr:rowOff>
    </xdr:to>
    <xdr:pic>
      <xdr:nvPicPr>
        <xdr:cNvPr id="2" name="Picture 1">
          <a:extLst>
            <a:ext uri="{FF2B5EF4-FFF2-40B4-BE49-F238E27FC236}">
              <a16:creationId xmlns:a16="http://schemas.microsoft.com/office/drawing/2014/main" id="{FD34D7D3-696C-4AF1-B04D-84CE7FCC7793}"/>
            </a:ext>
          </a:extLst>
        </xdr:cNvPr>
        <xdr:cNvPicPr>
          <a:picLocks noChangeAspect="1"/>
        </xdr:cNvPicPr>
      </xdr:nvPicPr>
      <xdr:blipFill>
        <a:blip xmlns:r="http://schemas.openxmlformats.org/officeDocument/2006/relationships" r:embed="rId1"/>
        <a:stretch>
          <a:fillRect/>
        </a:stretch>
      </xdr:blipFill>
      <xdr:spPr>
        <a:xfrm>
          <a:off x="7724776" y="180976"/>
          <a:ext cx="3829050" cy="3357325"/>
        </a:xfrm>
        <a:prstGeom prst="rect">
          <a:avLst/>
        </a:prstGeom>
      </xdr:spPr>
    </xdr:pic>
    <xdr:clientData/>
  </xdr:twoCellAnchor>
  <xdr:twoCellAnchor editAs="oneCell">
    <xdr:from>
      <xdr:col>6</xdr:col>
      <xdr:colOff>142875</xdr:colOff>
      <xdr:row>18</xdr:row>
      <xdr:rowOff>152400</xdr:rowOff>
    </xdr:from>
    <xdr:to>
      <xdr:col>11</xdr:col>
      <xdr:colOff>231080</xdr:colOff>
      <xdr:row>33</xdr:row>
      <xdr:rowOff>114300</xdr:rowOff>
    </xdr:to>
    <xdr:pic>
      <xdr:nvPicPr>
        <xdr:cNvPr id="3" name="Picture 2">
          <a:extLst>
            <a:ext uri="{FF2B5EF4-FFF2-40B4-BE49-F238E27FC236}">
              <a16:creationId xmlns:a16="http://schemas.microsoft.com/office/drawing/2014/main" id="{28D9DF0B-A514-4FFC-B7AD-07916D4C7A18}"/>
            </a:ext>
          </a:extLst>
        </xdr:cNvPr>
        <xdr:cNvPicPr>
          <a:picLocks noChangeAspect="1"/>
        </xdr:cNvPicPr>
      </xdr:nvPicPr>
      <xdr:blipFill>
        <a:blip xmlns:r="http://schemas.openxmlformats.org/officeDocument/2006/relationships" r:embed="rId2"/>
        <a:stretch>
          <a:fillRect/>
        </a:stretch>
      </xdr:blipFill>
      <xdr:spPr>
        <a:xfrm>
          <a:off x="8096250" y="3581400"/>
          <a:ext cx="3136205" cy="2828925"/>
        </a:xfrm>
        <a:prstGeom prst="rect">
          <a:avLst/>
        </a:prstGeom>
      </xdr:spPr>
    </xdr:pic>
    <xdr:clientData/>
  </xdr:twoCellAnchor>
  <xdr:twoCellAnchor editAs="oneCell">
    <xdr:from>
      <xdr:col>12</xdr:col>
      <xdr:colOff>38101</xdr:colOff>
      <xdr:row>1</xdr:row>
      <xdr:rowOff>1</xdr:rowOff>
    </xdr:from>
    <xdr:to>
      <xdr:col>20</xdr:col>
      <xdr:colOff>428237</xdr:colOff>
      <xdr:row>33</xdr:row>
      <xdr:rowOff>47625</xdr:rowOff>
    </xdr:to>
    <xdr:pic>
      <xdr:nvPicPr>
        <xdr:cNvPr id="4" name="Picture 3">
          <a:extLst>
            <a:ext uri="{FF2B5EF4-FFF2-40B4-BE49-F238E27FC236}">
              <a16:creationId xmlns:a16="http://schemas.microsoft.com/office/drawing/2014/main" id="{D976558E-0CA0-4F8B-9182-B10D7C0D618E}"/>
            </a:ext>
          </a:extLst>
        </xdr:cNvPr>
        <xdr:cNvPicPr>
          <a:picLocks noChangeAspect="1"/>
        </xdr:cNvPicPr>
      </xdr:nvPicPr>
      <xdr:blipFill>
        <a:blip xmlns:r="http://schemas.openxmlformats.org/officeDocument/2006/relationships" r:embed="rId3"/>
        <a:stretch>
          <a:fillRect/>
        </a:stretch>
      </xdr:blipFill>
      <xdr:spPr>
        <a:xfrm>
          <a:off x="11649076" y="180976"/>
          <a:ext cx="5266936" cy="6162674"/>
        </a:xfrm>
        <a:prstGeom prst="rect">
          <a:avLst/>
        </a:prstGeom>
      </xdr:spPr>
    </xdr:pic>
    <xdr:clientData/>
  </xdr:twoCellAnchor>
  <xdr:twoCellAnchor>
    <xdr:from>
      <xdr:col>5</xdr:col>
      <xdr:colOff>600075</xdr:colOff>
      <xdr:row>34</xdr:row>
      <xdr:rowOff>95250</xdr:rowOff>
    </xdr:from>
    <xdr:to>
      <xdr:col>14</xdr:col>
      <xdr:colOff>371475</xdr:colOff>
      <xdr:row>41</xdr:row>
      <xdr:rowOff>38100</xdr:rowOff>
    </xdr:to>
    <xdr:sp macro="" textlink="">
      <xdr:nvSpPr>
        <xdr:cNvPr id="5" name="TextBox 4">
          <a:extLst>
            <a:ext uri="{FF2B5EF4-FFF2-40B4-BE49-F238E27FC236}">
              <a16:creationId xmlns:a16="http://schemas.microsoft.com/office/drawing/2014/main" id="{7A268DD3-4624-7020-FD01-551E213DD49B}"/>
            </a:ext>
          </a:extLst>
        </xdr:cNvPr>
        <xdr:cNvSpPr txBox="1"/>
      </xdr:nvSpPr>
      <xdr:spPr>
        <a:xfrm>
          <a:off x="7943850" y="6591300"/>
          <a:ext cx="5257800" cy="1362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t>In this sheet a summery of all the design parameters that might be useful for the mechanical design is given. All the parameters and the process of obtaining them have been discused in previous sheets.</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608381</xdr:colOff>
      <xdr:row>38</xdr:row>
      <xdr:rowOff>50560</xdr:rowOff>
    </xdr:to>
    <xdr:pic>
      <xdr:nvPicPr>
        <xdr:cNvPr id="2" name="Picture 1">
          <a:extLst>
            <a:ext uri="{FF2B5EF4-FFF2-40B4-BE49-F238E27FC236}">
              <a16:creationId xmlns:a16="http://schemas.microsoft.com/office/drawing/2014/main" id="{A264C698-0DA5-C71E-3910-DF82BE78CF73}"/>
            </a:ext>
          </a:extLst>
        </xdr:cNvPr>
        <xdr:cNvPicPr>
          <a:picLocks noChangeAspect="1"/>
        </xdr:cNvPicPr>
      </xdr:nvPicPr>
      <xdr:blipFill>
        <a:blip xmlns:r="http://schemas.openxmlformats.org/officeDocument/2006/relationships" r:embed="rId1"/>
        <a:stretch>
          <a:fillRect/>
        </a:stretch>
      </xdr:blipFill>
      <xdr:spPr>
        <a:xfrm>
          <a:off x="0" y="0"/>
          <a:ext cx="9752381" cy="7000000"/>
        </a:xfrm>
        <a:prstGeom prst="rect">
          <a:avLst/>
        </a:prstGeom>
        <a:effectLst>
          <a:softEdge rad="342900"/>
        </a:effectLst>
      </xdr:spPr>
    </xdr:pic>
    <xdr:clientData/>
  </xdr:twoCellAnchor>
  <xdr:twoCellAnchor>
    <xdr:from>
      <xdr:col>15</xdr:col>
      <xdr:colOff>523875</xdr:colOff>
      <xdr:row>1</xdr:row>
      <xdr:rowOff>66675</xdr:rowOff>
    </xdr:from>
    <xdr:to>
      <xdr:col>25</xdr:col>
      <xdr:colOff>114300</xdr:colOff>
      <xdr:row>37</xdr:row>
      <xdr:rowOff>9525</xdr:rowOff>
    </xdr:to>
    <xdr:sp macro="" textlink="">
      <xdr:nvSpPr>
        <xdr:cNvPr id="3" name="TextBox 2">
          <a:extLst>
            <a:ext uri="{FF2B5EF4-FFF2-40B4-BE49-F238E27FC236}">
              <a16:creationId xmlns:a16="http://schemas.microsoft.com/office/drawing/2014/main" id="{CF2D1054-843C-86A0-C2FC-B66A221DC176}"/>
            </a:ext>
          </a:extLst>
        </xdr:cNvPr>
        <xdr:cNvSpPr txBox="1"/>
      </xdr:nvSpPr>
      <xdr:spPr>
        <a:xfrm>
          <a:off x="9667875" y="247650"/>
          <a:ext cx="5686425" cy="64579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Distillation columns are an inseperable part of any chemical plant and so well distinguished that they are treated as the symbol of industrial plants and oil refinaries. The use of traditional distillation methodes are centries old and it has been decades where scientists and engineers are trying to optimize the methodes of distillation and manufacture of the columns.</a:t>
          </a:r>
        </a:p>
        <a:p>
          <a:r>
            <a:rPr lang="en-US" sz="1200"/>
            <a:t>In this project a predetermined process is given to us and we are obligated to design a distillation column which should operate seamlessly and safely to produce the quality and quantity demanding. </a:t>
          </a:r>
        </a:p>
        <a:p>
          <a:endParaRPr lang="en-US" sz="1200"/>
        </a:p>
        <a:p>
          <a:r>
            <a:rPr lang="en-US" sz="1200"/>
            <a:t>This spreadsheet contains several sheets which include calculations, assumptions, and data required for the design. In each sheet the whole calculation process is fully described in details.</a:t>
          </a:r>
        </a:p>
        <a:p>
          <a:r>
            <a:rPr lang="en-US" sz="1200"/>
            <a:t>All the calculations will be applied to several different candidates in parallel and at the end the best option will be determined.</a:t>
          </a:r>
        </a:p>
        <a:p>
          <a:r>
            <a:rPr lang="en-US" sz="1200"/>
            <a:t>Predetermined</a:t>
          </a:r>
          <a:r>
            <a:rPr lang="en-US" sz="1200" baseline="0"/>
            <a:t> properties are shown in </a:t>
          </a:r>
          <a:r>
            <a:rPr lang="en-US" sz="1200" b="1" baseline="0"/>
            <a:t>Properties </a:t>
          </a:r>
          <a:r>
            <a:rPr lang="en-US" sz="1200" baseline="0"/>
            <a:t>and will be used in further calculations.</a:t>
          </a:r>
          <a:endParaRPr lang="en-US" sz="1200"/>
        </a:p>
        <a:p>
          <a:r>
            <a:rPr lang="en-US" sz="1200"/>
            <a:t>In </a:t>
          </a:r>
          <a:r>
            <a:rPr lang="en-US" sz="1200" b="1"/>
            <a:t>Diameter Calc. </a:t>
          </a:r>
          <a:r>
            <a:rPr lang="en-US" sz="1200"/>
            <a:t>with the use of different graphs and equations, some proper values for column diameter will be determined.</a:t>
          </a:r>
        </a:p>
        <a:p>
          <a:r>
            <a:rPr lang="en-US" sz="1200"/>
            <a:t>In </a:t>
          </a:r>
          <a:r>
            <a:rPr lang="en-US" sz="1200" b="1"/>
            <a:t>Plate Desing Part I &amp; II</a:t>
          </a:r>
          <a:r>
            <a:rPr lang="en-US" sz="1200"/>
            <a:t>, with obtaining area, length and height of various parts of the column, we will be able to choose the final sizings by considering pressure drop, weeping, flooding percentage, residence time and so on.</a:t>
          </a:r>
        </a:p>
        <a:p>
          <a:r>
            <a:rPr lang="en-US" sz="1200"/>
            <a:t>With the final sizes obtained, a detailed plate layout could be obtained and a detailed drawing will be drawn with AutoCAD in the </a:t>
          </a:r>
          <a:r>
            <a:rPr lang="en-US" sz="1200" b="1"/>
            <a:t>Plate Layout </a:t>
          </a:r>
          <a:r>
            <a:rPr lang="en-US" sz="1200"/>
            <a:t>sheet.</a:t>
          </a:r>
        </a:p>
        <a:p>
          <a:r>
            <a:rPr lang="en-US" sz="1200" b="1"/>
            <a:t>Weight and Cost </a:t>
          </a:r>
          <a:r>
            <a:rPr lang="en-US" sz="1200"/>
            <a:t>sheets will be dedicated to the respective aspects of the column and usefull charts, tables, and drawings could be found in there.</a:t>
          </a:r>
        </a:p>
        <a:p>
          <a:r>
            <a:rPr lang="en-US" sz="1200" b="1"/>
            <a:t>Mechanical Design </a:t>
          </a:r>
          <a:r>
            <a:rPr lang="en-US" sz="1200"/>
            <a:t>is dedicated to gather and summerize details which manufactuing of the column heavily depends on them.</a:t>
          </a:r>
        </a:p>
        <a:p>
          <a:endParaRPr lang="en-US" sz="1200"/>
        </a:p>
        <a:p>
          <a:r>
            <a:rPr lang="en-US" sz="1200"/>
            <a:t>If you have any question about the project or need to contact us by any means, here is our email addresses:</a:t>
          </a:r>
        </a:p>
        <a:p>
          <a:endParaRPr lang="en-US" sz="1200"/>
        </a:p>
        <a:p>
          <a:r>
            <a:rPr lang="en-US" sz="1200"/>
            <a:t>mohammad.homanloo@sharif.edu</a:t>
          </a:r>
        </a:p>
        <a:p>
          <a:r>
            <a:rPr lang="en-US" sz="1200"/>
            <a:t>matin.lashgari@sharif.edu</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18</xdr:col>
      <xdr:colOff>76200</xdr:colOff>
      <xdr:row>13</xdr:row>
      <xdr:rowOff>352425</xdr:rowOff>
    </xdr:from>
    <xdr:to>
      <xdr:col>19</xdr:col>
      <xdr:colOff>504924</xdr:colOff>
      <xdr:row>16</xdr:row>
      <xdr:rowOff>57189</xdr:rowOff>
    </xdr:to>
    <xdr:pic>
      <xdr:nvPicPr>
        <xdr:cNvPr id="3" name="Picture 2">
          <a:extLst>
            <a:ext uri="{FF2B5EF4-FFF2-40B4-BE49-F238E27FC236}">
              <a16:creationId xmlns:a16="http://schemas.microsoft.com/office/drawing/2014/main" id="{2A0430D6-463D-FD4A-6429-B28B99891777}"/>
            </a:ext>
          </a:extLst>
        </xdr:cNvPr>
        <xdr:cNvPicPr>
          <a:picLocks noChangeAspect="1"/>
        </xdr:cNvPicPr>
      </xdr:nvPicPr>
      <xdr:blipFill>
        <a:blip xmlns:r="http://schemas.openxmlformats.org/officeDocument/2006/relationships" r:embed="rId1"/>
        <a:stretch>
          <a:fillRect/>
        </a:stretch>
      </xdr:blipFill>
      <xdr:spPr>
        <a:xfrm>
          <a:off x="15659100" y="2771775"/>
          <a:ext cx="1143099" cy="447714"/>
        </a:xfrm>
        <a:prstGeom prst="rect">
          <a:avLst/>
        </a:prstGeom>
      </xdr:spPr>
    </xdr:pic>
    <xdr:clientData/>
  </xdr:twoCellAnchor>
  <xdr:twoCellAnchor editAs="oneCell">
    <xdr:from>
      <xdr:col>18</xdr:col>
      <xdr:colOff>76200</xdr:colOff>
      <xdr:row>16</xdr:row>
      <xdr:rowOff>57150</xdr:rowOff>
    </xdr:from>
    <xdr:to>
      <xdr:col>19</xdr:col>
      <xdr:colOff>634475</xdr:colOff>
      <xdr:row>18</xdr:row>
      <xdr:rowOff>7647</xdr:rowOff>
    </xdr:to>
    <xdr:pic>
      <xdr:nvPicPr>
        <xdr:cNvPr id="4" name="Picture 3">
          <a:extLst>
            <a:ext uri="{FF2B5EF4-FFF2-40B4-BE49-F238E27FC236}">
              <a16:creationId xmlns:a16="http://schemas.microsoft.com/office/drawing/2014/main" id="{CD1F34DF-5895-094F-BE40-8AA965E9E9BB}"/>
            </a:ext>
          </a:extLst>
        </xdr:cNvPr>
        <xdr:cNvPicPr>
          <a:picLocks noChangeAspect="1"/>
        </xdr:cNvPicPr>
      </xdr:nvPicPr>
      <xdr:blipFill>
        <a:blip xmlns:r="http://schemas.openxmlformats.org/officeDocument/2006/relationships" r:embed="rId2"/>
        <a:stretch>
          <a:fillRect/>
        </a:stretch>
      </xdr:blipFill>
      <xdr:spPr>
        <a:xfrm>
          <a:off x="15659100" y="3219450"/>
          <a:ext cx="1272650" cy="312447"/>
        </a:xfrm>
        <a:prstGeom prst="rect">
          <a:avLst/>
        </a:prstGeom>
      </xdr:spPr>
    </xdr:pic>
    <xdr:clientData/>
  </xdr:twoCellAnchor>
  <xdr:twoCellAnchor editAs="oneCell">
    <xdr:from>
      <xdr:col>18</xdr:col>
      <xdr:colOff>76200</xdr:colOff>
      <xdr:row>18</xdr:row>
      <xdr:rowOff>3810</xdr:rowOff>
    </xdr:from>
    <xdr:to>
      <xdr:col>19</xdr:col>
      <xdr:colOff>344890</xdr:colOff>
      <xdr:row>21</xdr:row>
      <xdr:rowOff>55297</xdr:rowOff>
    </xdr:to>
    <xdr:pic>
      <xdr:nvPicPr>
        <xdr:cNvPr id="5" name="Picture 4">
          <a:extLst>
            <a:ext uri="{FF2B5EF4-FFF2-40B4-BE49-F238E27FC236}">
              <a16:creationId xmlns:a16="http://schemas.microsoft.com/office/drawing/2014/main" id="{C8161CA7-D999-3A0F-BA58-D023BD9C991C}"/>
            </a:ext>
          </a:extLst>
        </xdr:cNvPr>
        <xdr:cNvPicPr>
          <a:picLocks noChangeAspect="1"/>
        </xdr:cNvPicPr>
      </xdr:nvPicPr>
      <xdr:blipFill>
        <a:blip xmlns:r="http://schemas.openxmlformats.org/officeDocument/2006/relationships" r:embed="rId3"/>
        <a:stretch>
          <a:fillRect/>
        </a:stretch>
      </xdr:blipFill>
      <xdr:spPr>
        <a:xfrm>
          <a:off x="15659100" y="3528060"/>
          <a:ext cx="983065" cy="594412"/>
        </a:xfrm>
        <a:prstGeom prst="rect">
          <a:avLst/>
        </a:prstGeom>
      </xdr:spPr>
    </xdr:pic>
    <xdr:clientData/>
  </xdr:twoCellAnchor>
  <xdr:twoCellAnchor>
    <xdr:from>
      <xdr:col>12</xdr:col>
      <xdr:colOff>152400</xdr:colOff>
      <xdr:row>13</xdr:row>
      <xdr:rowOff>247649</xdr:rowOff>
    </xdr:from>
    <xdr:to>
      <xdr:col>17</xdr:col>
      <xdr:colOff>809625</xdr:colOff>
      <xdr:row>44</xdr:row>
      <xdr:rowOff>114299</xdr:rowOff>
    </xdr:to>
    <xdr:sp macro="" textlink="">
      <xdr:nvSpPr>
        <xdr:cNvPr id="6" name="TextBox 5">
          <a:extLst>
            <a:ext uri="{FF2B5EF4-FFF2-40B4-BE49-F238E27FC236}">
              <a16:creationId xmlns:a16="http://schemas.microsoft.com/office/drawing/2014/main" id="{5C70F4F5-1514-5585-2A7F-647BBC6E2345}"/>
            </a:ext>
          </a:extLst>
        </xdr:cNvPr>
        <xdr:cNvSpPr txBox="1"/>
      </xdr:nvSpPr>
      <xdr:spPr>
        <a:xfrm>
          <a:off x="10963275" y="2666999"/>
          <a:ext cx="4610100" cy="5781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Sheet Agenda:</a:t>
          </a:r>
        </a:p>
        <a:p>
          <a:r>
            <a:rPr lang="en-US" sz="1200"/>
            <a:t>Calculating column diameter for common tray spacings and downcomer areas, volumetric rates of vapor and liquid, and matching column diameters to their paired tray spacing and downcomer area.</a:t>
          </a:r>
        </a:p>
        <a:p>
          <a:endParaRPr lang="en-US" sz="1200"/>
        </a:p>
        <a:p>
          <a:r>
            <a:rPr lang="en-US" sz="1200" b="1"/>
            <a:t>Description:</a:t>
          </a:r>
        </a:p>
        <a:p>
          <a:r>
            <a:rPr lang="en-US" sz="1200"/>
            <a:t>In Table 2.1, the process which will be repeated over various spacings and downcomer areas. At first F</a:t>
          </a:r>
          <a:r>
            <a:rPr lang="en-US" sz="1200" baseline="-25000"/>
            <a:t>LV</a:t>
          </a:r>
          <a:r>
            <a:rPr lang="en-US" sz="1200"/>
            <a:t>, C</a:t>
          </a:r>
          <a:r>
            <a:rPr lang="en-US" sz="1200" baseline="-25000"/>
            <a:t>sb</a:t>
          </a:r>
          <a:r>
            <a:rPr lang="en-US" sz="1200"/>
            <a:t>, and K1 are calculated to obtain flooding velocity. This calculation is done for all trays, but as the values are replicating, calculation for all trays is unnecessary so tray 1, 4, and 7 will be considered. For operating velocity, 75% of the flooding velocity will be taken. By having velocity and volume rate for each tray, and considering the downcomer area percentage, cross section area will be acquired and as the column has a circle base, the diameter will be obtained.</a:t>
          </a:r>
        </a:p>
        <a:p>
          <a:r>
            <a:rPr lang="en-US" sz="1200"/>
            <a:t>In Table 2.2 the process discused above will be repeated for 4 common tray spacing which are heavily used in industries and the downcomer area of 12%. On the other hand, in Table 2.3 downcomer areas of 10, 12, and 14 percent will be considered too. As a result a wide range of view will be obtained about the diameter range.</a:t>
          </a:r>
        </a:p>
        <a:p>
          <a:endParaRPr lang="en-US" sz="1200"/>
        </a:p>
        <a:p>
          <a:r>
            <a:rPr lang="en-US" sz="1200" b="1"/>
            <a:t>Sheet Results:</a:t>
          </a:r>
        </a:p>
        <a:p>
          <a:r>
            <a:rPr lang="en-US" sz="1200"/>
            <a:t>If we round the diameters that are calculated to the typical industrial sizings, it will concluded that:</a:t>
          </a:r>
        </a:p>
        <a:p>
          <a:r>
            <a:rPr lang="en-US" sz="1200"/>
            <a:t>9 inch tray spacing --&gt; 46 inch diameter</a:t>
          </a:r>
        </a:p>
        <a:p>
          <a:r>
            <a:rPr lang="en-US" sz="1200"/>
            <a:t>12 inch tray spacing --&gt; 40 inch diameter</a:t>
          </a:r>
        </a:p>
        <a:p>
          <a:r>
            <a:rPr lang="en-US" sz="1200"/>
            <a:t>18 inch tray spacing --&gt; 36 inch diameter</a:t>
          </a:r>
        </a:p>
        <a:p>
          <a:r>
            <a:rPr lang="en-US" sz="1200"/>
            <a:t>24 inch tray spacing --&gt; 32 inch diameter</a:t>
          </a:r>
        </a:p>
      </xdr:txBody>
    </xdr:sp>
    <xdr:clientData/>
  </xdr:twoCellAnchor>
  <xdr:twoCellAnchor editAs="oneCell">
    <xdr:from>
      <xdr:col>0</xdr:col>
      <xdr:colOff>600075</xdr:colOff>
      <xdr:row>46</xdr:row>
      <xdr:rowOff>0</xdr:rowOff>
    </xdr:from>
    <xdr:to>
      <xdr:col>8</xdr:col>
      <xdr:colOff>483666</xdr:colOff>
      <xdr:row>58</xdr:row>
      <xdr:rowOff>57149</xdr:rowOff>
    </xdr:to>
    <xdr:pic>
      <xdr:nvPicPr>
        <xdr:cNvPr id="2" name="Picture 1">
          <a:extLst>
            <a:ext uri="{FF2B5EF4-FFF2-40B4-BE49-F238E27FC236}">
              <a16:creationId xmlns:a16="http://schemas.microsoft.com/office/drawing/2014/main" id="{1CABDA99-7753-6E1C-7D03-F82517C15420}"/>
            </a:ext>
          </a:extLst>
        </xdr:cNvPr>
        <xdr:cNvPicPr>
          <a:picLocks noChangeAspect="1"/>
        </xdr:cNvPicPr>
      </xdr:nvPicPr>
      <xdr:blipFill>
        <a:blip xmlns:r="http://schemas.openxmlformats.org/officeDocument/2006/relationships" r:embed="rId4"/>
        <a:stretch>
          <a:fillRect/>
        </a:stretch>
      </xdr:blipFill>
      <xdr:spPr>
        <a:xfrm>
          <a:off x="600075" y="8696325"/>
          <a:ext cx="6827316" cy="2228849"/>
        </a:xfrm>
        <a:prstGeom prst="rect">
          <a:avLst/>
        </a:prstGeom>
      </xdr:spPr>
    </xdr:pic>
    <xdr:clientData/>
  </xdr:twoCellAnchor>
  <xdr:twoCellAnchor editAs="oneCell">
    <xdr:from>
      <xdr:col>0</xdr:col>
      <xdr:colOff>600075</xdr:colOff>
      <xdr:row>45</xdr:row>
      <xdr:rowOff>152400</xdr:rowOff>
    </xdr:from>
    <xdr:to>
      <xdr:col>8</xdr:col>
      <xdr:colOff>483666</xdr:colOff>
      <xdr:row>58</xdr:row>
      <xdr:rowOff>28574</xdr:rowOff>
    </xdr:to>
    <xdr:pic>
      <xdr:nvPicPr>
        <xdr:cNvPr id="7" name="Picture 6">
          <a:extLst>
            <a:ext uri="{FF2B5EF4-FFF2-40B4-BE49-F238E27FC236}">
              <a16:creationId xmlns:a16="http://schemas.microsoft.com/office/drawing/2014/main" id="{9611A93A-8D7A-8A6B-507B-F07E05C008EA}"/>
            </a:ext>
          </a:extLst>
        </xdr:cNvPr>
        <xdr:cNvPicPr>
          <a:picLocks noChangeAspect="1"/>
        </xdr:cNvPicPr>
      </xdr:nvPicPr>
      <xdr:blipFill>
        <a:blip xmlns:r="http://schemas.openxmlformats.org/officeDocument/2006/relationships" r:embed="rId4"/>
        <a:stretch>
          <a:fillRect/>
        </a:stretch>
      </xdr:blipFill>
      <xdr:spPr>
        <a:xfrm>
          <a:off x="600075" y="8667750"/>
          <a:ext cx="6827316" cy="222884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1038225</xdr:colOff>
      <xdr:row>4</xdr:row>
      <xdr:rowOff>38100</xdr:rowOff>
    </xdr:from>
    <xdr:to>
      <xdr:col>12</xdr:col>
      <xdr:colOff>1084220</xdr:colOff>
      <xdr:row>23</xdr:row>
      <xdr:rowOff>131790</xdr:rowOff>
    </xdr:to>
    <xdr:pic>
      <xdr:nvPicPr>
        <xdr:cNvPr id="4" name="Picture 3">
          <a:extLst>
            <a:ext uri="{FF2B5EF4-FFF2-40B4-BE49-F238E27FC236}">
              <a16:creationId xmlns:a16="http://schemas.microsoft.com/office/drawing/2014/main" id="{2375B955-792D-98B7-91AB-48E4CF114F72}"/>
            </a:ext>
          </a:extLst>
        </xdr:cNvPr>
        <xdr:cNvPicPr>
          <a:picLocks noChangeAspect="1"/>
        </xdr:cNvPicPr>
      </xdr:nvPicPr>
      <xdr:blipFill>
        <a:blip xmlns:r="http://schemas.openxmlformats.org/officeDocument/2006/relationships" r:embed="rId1"/>
        <a:stretch>
          <a:fillRect/>
        </a:stretch>
      </xdr:blipFill>
      <xdr:spPr>
        <a:xfrm>
          <a:off x="10029825" y="800100"/>
          <a:ext cx="3170195" cy="3960840"/>
        </a:xfrm>
        <a:prstGeom prst="rect">
          <a:avLst/>
        </a:prstGeom>
      </xdr:spPr>
    </xdr:pic>
    <xdr:clientData/>
  </xdr:twoCellAnchor>
  <xdr:twoCellAnchor editAs="oneCell">
    <xdr:from>
      <xdr:col>12</xdr:col>
      <xdr:colOff>1150619</xdr:colOff>
      <xdr:row>4</xdr:row>
      <xdr:rowOff>85724</xdr:rowOff>
    </xdr:from>
    <xdr:to>
      <xdr:col>16</xdr:col>
      <xdr:colOff>960119</xdr:colOff>
      <xdr:row>23</xdr:row>
      <xdr:rowOff>8531</xdr:rowOff>
    </xdr:to>
    <xdr:pic>
      <xdr:nvPicPr>
        <xdr:cNvPr id="2" name="Picture 1">
          <a:extLst>
            <a:ext uri="{FF2B5EF4-FFF2-40B4-BE49-F238E27FC236}">
              <a16:creationId xmlns:a16="http://schemas.microsoft.com/office/drawing/2014/main" id="{BC4C31F2-0D00-94A3-5CA5-7A37BA85451F}"/>
            </a:ext>
          </a:extLst>
        </xdr:cNvPr>
        <xdr:cNvPicPr>
          <a:picLocks noChangeAspect="1"/>
        </xdr:cNvPicPr>
      </xdr:nvPicPr>
      <xdr:blipFill>
        <a:blip xmlns:r="http://schemas.openxmlformats.org/officeDocument/2006/relationships" r:embed="rId2"/>
        <a:stretch>
          <a:fillRect/>
        </a:stretch>
      </xdr:blipFill>
      <xdr:spPr>
        <a:xfrm>
          <a:off x="13266419" y="847724"/>
          <a:ext cx="4524375" cy="3789957"/>
        </a:xfrm>
        <a:prstGeom prst="rect">
          <a:avLst/>
        </a:prstGeom>
      </xdr:spPr>
    </xdr:pic>
    <xdr:clientData/>
  </xdr:twoCellAnchor>
  <xdr:twoCellAnchor editAs="oneCell">
    <xdr:from>
      <xdr:col>20</xdr:col>
      <xdr:colOff>0</xdr:colOff>
      <xdr:row>28</xdr:row>
      <xdr:rowOff>0</xdr:rowOff>
    </xdr:from>
    <xdr:to>
      <xdr:col>22</xdr:col>
      <xdr:colOff>106</xdr:colOff>
      <xdr:row>30</xdr:row>
      <xdr:rowOff>89580</xdr:rowOff>
    </xdr:to>
    <xdr:pic>
      <xdr:nvPicPr>
        <xdr:cNvPr id="3" name="Picture 2">
          <a:extLst>
            <a:ext uri="{FF2B5EF4-FFF2-40B4-BE49-F238E27FC236}">
              <a16:creationId xmlns:a16="http://schemas.microsoft.com/office/drawing/2014/main" id="{42F1CEEF-4D54-148F-FB9A-BF9A553CB903}"/>
            </a:ext>
          </a:extLst>
        </xdr:cNvPr>
        <xdr:cNvPicPr>
          <a:picLocks noChangeAspect="1"/>
        </xdr:cNvPicPr>
      </xdr:nvPicPr>
      <xdr:blipFill>
        <a:blip xmlns:r="http://schemas.openxmlformats.org/officeDocument/2006/relationships" r:embed="rId3"/>
        <a:stretch>
          <a:fillRect/>
        </a:stretch>
      </xdr:blipFill>
      <xdr:spPr>
        <a:xfrm>
          <a:off x="19669125" y="5619750"/>
          <a:ext cx="1219306" cy="518205"/>
        </a:xfrm>
        <a:prstGeom prst="rect">
          <a:avLst/>
        </a:prstGeom>
      </xdr:spPr>
    </xdr:pic>
    <xdr:clientData/>
  </xdr:twoCellAnchor>
  <xdr:twoCellAnchor editAs="oneCell">
    <xdr:from>
      <xdr:col>20</xdr:col>
      <xdr:colOff>0</xdr:colOff>
      <xdr:row>31</xdr:row>
      <xdr:rowOff>0</xdr:rowOff>
    </xdr:from>
    <xdr:to>
      <xdr:col>22</xdr:col>
      <xdr:colOff>541173</xdr:colOff>
      <xdr:row>33</xdr:row>
      <xdr:rowOff>133393</xdr:rowOff>
    </xdr:to>
    <xdr:pic>
      <xdr:nvPicPr>
        <xdr:cNvPr id="5" name="Picture 4">
          <a:extLst>
            <a:ext uri="{FF2B5EF4-FFF2-40B4-BE49-F238E27FC236}">
              <a16:creationId xmlns:a16="http://schemas.microsoft.com/office/drawing/2014/main" id="{31751B57-B5D2-07F5-D0E6-4A8AE6DAED07}"/>
            </a:ext>
          </a:extLst>
        </xdr:cNvPr>
        <xdr:cNvPicPr>
          <a:picLocks noChangeAspect="1"/>
        </xdr:cNvPicPr>
      </xdr:nvPicPr>
      <xdr:blipFill>
        <a:blip xmlns:r="http://schemas.openxmlformats.org/officeDocument/2006/relationships" r:embed="rId4"/>
        <a:stretch>
          <a:fillRect/>
        </a:stretch>
      </xdr:blipFill>
      <xdr:spPr>
        <a:xfrm>
          <a:off x="19669125" y="6248400"/>
          <a:ext cx="1760373" cy="495343"/>
        </a:xfrm>
        <a:prstGeom prst="rect">
          <a:avLst/>
        </a:prstGeom>
      </xdr:spPr>
    </xdr:pic>
    <xdr:clientData/>
  </xdr:twoCellAnchor>
  <xdr:twoCellAnchor>
    <xdr:from>
      <xdr:col>14</xdr:col>
      <xdr:colOff>819150</xdr:colOff>
      <xdr:row>27</xdr:row>
      <xdr:rowOff>123824</xdr:rowOff>
    </xdr:from>
    <xdr:to>
      <xdr:col>19</xdr:col>
      <xdr:colOff>504825</xdr:colOff>
      <xdr:row>63</xdr:row>
      <xdr:rowOff>85724</xdr:rowOff>
    </xdr:to>
    <xdr:sp macro="" textlink="">
      <xdr:nvSpPr>
        <xdr:cNvPr id="6" name="TextBox 5">
          <a:extLst>
            <a:ext uri="{FF2B5EF4-FFF2-40B4-BE49-F238E27FC236}">
              <a16:creationId xmlns:a16="http://schemas.microsoft.com/office/drawing/2014/main" id="{8B9C333B-ABCB-599F-CA97-433AC6194C88}"/>
            </a:ext>
          </a:extLst>
        </xdr:cNvPr>
        <xdr:cNvSpPr txBox="1"/>
      </xdr:nvSpPr>
      <xdr:spPr>
        <a:xfrm>
          <a:off x="15354300" y="5562599"/>
          <a:ext cx="4210050" cy="6677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Sheet Agenda:</a:t>
          </a:r>
        </a:p>
        <a:p>
          <a:r>
            <a:rPr lang="en-US" sz="1200"/>
            <a:t>Calculating downcomer area, weir length, active area, hole area and other parameters for different values of diameters and weir heights and eliminating the options which lead to weeping in the last tray, which has the highest possibility to face weeping.</a:t>
          </a:r>
        </a:p>
        <a:p>
          <a:endParaRPr lang="en-US" sz="1200"/>
        </a:p>
        <a:p>
          <a:r>
            <a:rPr lang="en-US" sz="1200" b="1"/>
            <a:t>Description:</a:t>
          </a:r>
        </a:p>
        <a:p>
          <a:r>
            <a:rPr lang="en-US" sz="1200"/>
            <a:t>In Table 3.1 and 3.2 the actual value of hole areas and downcomer areas which were decribed as percentage before, are ontained and used to calculate active area which will be used in further steps. Weir length is calculated with using the first graph.</a:t>
          </a:r>
        </a:p>
        <a:p>
          <a:r>
            <a:rPr lang="en-US" sz="1200"/>
            <a:t>In each of the tables 3.3 to 3.6, for each of the 4 previously calculated diameters, procedure described below is happening :</a:t>
          </a:r>
        </a:p>
        <a:p>
          <a:r>
            <a:rPr lang="en-US" sz="1200"/>
            <a:t>As weeping happens were we have the highest liquid rates, calculations are based on tray 7ths data. Maximum and minimum height of liquid over weir (h</a:t>
          </a:r>
          <a:r>
            <a:rPr lang="en-US" sz="1200" baseline="-25000"/>
            <a:t>ow</a:t>
          </a:r>
          <a:r>
            <a:rPr lang="en-US" sz="1200"/>
            <a:t>) is calculated. Note that we have assumed that minimum flow rate is 35% of the maximum rate or in other word, </a:t>
          </a:r>
          <a:r>
            <a:rPr lang="en-US" sz="1200" b="1" u="sng"/>
            <a:t>the turndown ratio is considered 2.86</a:t>
          </a:r>
          <a:r>
            <a:rPr lang="en-US" sz="1200"/>
            <a:t>. Value K2 is obtained by using the second graph.</a:t>
          </a:r>
        </a:p>
        <a:p>
          <a:r>
            <a:rPr lang="en-US" sz="1200"/>
            <a:t>By using the value K2, a minimum vapor velocity will be calculated and then compared with the actual minimum vapor velocity in the 7th tray which is calculated by using volumetric vapor rates and areas obtained before. If the actual minimum velocity is above the minimum velocity calculated by an acceptable gap (over 3 m/s more), it will be colored green.</a:t>
          </a:r>
        </a:p>
        <a:p>
          <a:r>
            <a:rPr lang="en-US" sz="1200"/>
            <a:t>The procedure above is repeated for 2 and 3 inch weir heights and several other options.</a:t>
          </a:r>
        </a:p>
        <a:p>
          <a:endParaRPr lang="en-US" sz="1200"/>
        </a:p>
        <a:p>
          <a:r>
            <a:rPr lang="en-US" sz="1200" b="1"/>
            <a:t>Sheet Results:</a:t>
          </a:r>
        </a:p>
        <a:p>
          <a:r>
            <a:rPr lang="en-US" sz="1200"/>
            <a:t>As the tables shows, safer diameters to choose are 32 and 36 inches. In the later calculations, these 2 diameters are the main candidates for the final diameter.</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12</xdr:col>
      <xdr:colOff>390525</xdr:colOff>
      <xdr:row>3</xdr:row>
      <xdr:rowOff>0</xdr:rowOff>
    </xdr:from>
    <xdr:to>
      <xdr:col>17</xdr:col>
      <xdr:colOff>512766</xdr:colOff>
      <xdr:row>28</xdr:row>
      <xdr:rowOff>131892</xdr:rowOff>
    </xdr:to>
    <xdr:pic>
      <xdr:nvPicPr>
        <xdr:cNvPr id="2" name="Picture 1">
          <a:extLst>
            <a:ext uri="{FF2B5EF4-FFF2-40B4-BE49-F238E27FC236}">
              <a16:creationId xmlns:a16="http://schemas.microsoft.com/office/drawing/2014/main" id="{5FF02FD7-E22F-A9CB-9923-2E0E0826F753}"/>
            </a:ext>
          </a:extLst>
        </xdr:cNvPr>
        <xdr:cNvPicPr>
          <a:picLocks noChangeAspect="1"/>
        </xdr:cNvPicPr>
      </xdr:nvPicPr>
      <xdr:blipFill>
        <a:blip xmlns:r="http://schemas.openxmlformats.org/officeDocument/2006/relationships" r:embed="rId1"/>
        <a:stretch>
          <a:fillRect/>
        </a:stretch>
      </xdr:blipFill>
      <xdr:spPr>
        <a:xfrm>
          <a:off x="11715750" y="561975"/>
          <a:ext cx="3703641" cy="5113467"/>
        </a:xfrm>
        <a:prstGeom prst="rect">
          <a:avLst/>
        </a:prstGeom>
      </xdr:spPr>
    </xdr:pic>
    <xdr:clientData/>
  </xdr:twoCellAnchor>
  <xdr:twoCellAnchor editAs="oneCell">
    <xdr:from>
      <xdr:col>12</xdr:col>
      <xdr:colOff>428626</xdr:colOff>
      <xdr:row>30</xdr:row>
      <xdr:rowOff>38101</xdr:rowOff>
    </xdr:from>
    <xdr:to>
      <xdr:col>17</xdr:col>
      <xdr:colOff>520399</xdr:colOff>
      <xdr:row>54</xdr:row>
      <xdr:rowOff>142875</xdr:rowOff>
    </xdr:to>
    <xdr:pic>
      <xdr:nvPicPr>
        <xdr:cNvPr id="3" name="Picture 2">
          <a:extLst>
            <a:ext uri="{FF2B5EF4-FFF2-40B4-BE49-F238E27FC236}">
              <a16:creationId xmlns:a16="http://schemas.microsoft.com/office/drawing/2014/main" id="{18E6A3E0-FB91-27D4-57F9-0FD14E1E96DE}"/>
            </a:ext>
          </a:extLst>
        </xdr:cNvPr>
        <xdr:cNvPicPr>
          <a:picLocks noChangeAspect="1"/>
        </xdr:cNvPicPr>
      </xdr:nvPicPr>
      <xdr:blipFill>
        <a:blip xmlns:r="http://schemas.openxmlformats.org/officeDocument/2006/relationships" r:embed="rId2"/>
        <a:stretch>
          <a:fillRect/>
        </a:stretch>
      </xdr:blipFill>
      <xdr:spPr>
        <a:xfrm>
          <a:off x="11753851" y="5943601"/>
          <a:ext cx="3673173" cy="4838699"/>
        </a:xfrm>
        <a:prstGeom prst="rect">
          <a:avLst/>
        </a:prstGeom>
      </xdr:spPr>
    </xdr:pic>
    <xdr:clientData/>
  </xdr:twoCellAnchor>
  <xdr:twoCellAnchor editAs="oneCell">
    <xdr:from>
      <xdr:col>28</xdr:col>
      <xdr:colOff>0</xdr:colOff>
      <xdr:row>3</xdr:row>
      <xdr:rowOff>123825</xdr:rowOff>
    </xdr:from>
    <xdr:to>
      <xdr:col>30</xdr:col>
      <xdr:colOff>152519</xdr:colOff>
      <xdr:row>4</xdr:row>
      <xdr:rowOff>59084</xdr:rowOff>
    </xdr:to>
    <xdr:pic>
      <xdr:nvPicPr>
        <xdr:cNvPr id="4" name="Picture 3">
          <a:extLst>
            <a:ext uri="{FF2B5EF4-FFF2-40B4-BE49-F238E27FC236}">
              <a16:creationId xmlns:a16="http://schemas.microsoft.com/office/drawing/2014/main" id="{DB541B88-DAE9-BA40-170A-A16651B6A27F}"/>
            </a:ext>
          </a:extLst>
        </xdr:cNvPr>
        <xdr:cNvPicPr>
          <a:picLocks noChangeAspect="1"/>
        </xdr:cNvPicPr>
      </xdr:nvPicPr>
      <xdr:blipFill>
        <a:blip xmlns:r="http://schemas.openxmlformats.org/officeDocument/2006/relationships" r:embed="rId3"/>
        <a:stretch>
          <a:fillRect/>
        </a:stretch>
      </xdr:blipFill>
      <xdr:spPr>
        <a:xfrm>
          <a:off x="21612225" y="685800"/>
          <a:ext cx="1371719" cy="335309"/>
        </a:xfrm>
        <a:prstGeom prst="rect">
          <a:avLst/>
        </a:prstGeom>
      </xdr:spPr>
    </xdr:pic>
    <xdr:clientData/>
  </xdr:twoCellAnchor>
  <xdr:twoCellAnchor editAs="oneCell">
    <xdr:from>
      <xdr:col>28</xdr:col>
      <xdr:colOff>0</xdr:colOff>
      <xdr:row>4</xdr:row>
      <xdr:rowOff>161925</xdr:rowOff>
    </xdr:from>
    <xdr:to>
      <xdr:col>29</xdr:col>
      <xdr:colOff>464913</xdr:colOff>
      <xdr:row>8</xdr:row>
      <xdr:rowOff>17195</xdr:rowOff>
    </xdr:to>
    <xdr:pic>
      <xdr:nvPicPr>
        <xdr:cNvPr id="5" name="Picture 4">
          <a:extLst>
            <a:ext uri="{FF2B5EF4-FFF2-40B4-BE49-F238E27FC236}">
              <a16:creationId xmlns:a16="http://schemas.microsoft.com/office/drawing/2014/main" id="{8D6A64A2-1745-2FD7-06CD-C6ACE7947900}"/>
            </a:ext>
          </a:extLst>
        </xdr:cNvPr>
        <xdr:cNvPicPr>
          <a:picLocks noChangeAspect="1"/>
        </xdr:cNvPicPr>
      </xdr:nvPicPr>
      <xdr:blipFill>
        <a:blip xmlns:r="http://schemas.openxmlformats.org/officeDocument/2006/relationships" r:embed="rId4"/>
        <a:stretch>
          <a:fillRect/>
        </a:stretch>
      </xdr:blipFill>
      <xdr:spPr>
        <a:xfrm>
          <a:off x="21612225" y="1123950"/>
          <a:ext cx="1074513" cy="579170"/>
        </a:xfrm>
        <a:prstGeom prst="rect">
          <a:avLst/>
        </a:prstGeom>
      </xdr:spPr>
    </xdr:pic>
    <xdr:clientData/>
  </xdr:twoCellAnchor>
  <xdr:twoCellAnchor editAs="oneCell">
    <xdr:from>
      <xdr:col>28</xdr:col>
      <xdr:colOff>0</xdr:colOff>
      <xdr:row>8</xdr:row>
      <xdr:rowOff>47625</xdr:rowOff>
    </xdr:from>
    <xdr:to>
      <xdr:col>29</xdr:col>
      <xdr:colOff>381086</xdr:colOff>
      <xdr:row>10</xdr:row>
      <xdr:rowOff>158156</xdr:rowOff>
    </xdr:to>
    <xdr:pic>
      <xdr:nvPicPr>
        <xdr:cNvPr id="6" name="Picture 5">
          <a:extLst>
            <a:ext uri="{FF2B5EF4-FFF2-40B4-BE49-F238E27FC236}">
              <a16:creationId xmlns:a16="http://schemas.microsoft.com/office/drawing/2014/main" id="{7584E174-456D-0094-AD77-9E9DB75C2BF6}"/>
            </a:ext>
          </a:extLst>
        </xdr:cNvPr>
        <xdr:cNvPicPr>
          <a:picLocks noChangeAspect="1"/>
        </xdr:cNvPicPr>
      </xdr:nvPicPr>
      <xdr:blipFill>
        <a:blip xmlns:r="http://schemas.openxmlformats.org/officeDocument/2006/relationships" r:embed="rId5"/>
        <a:stretch>
          <a:fillRect/>
        </a:stretch>
      </xdr:blipFill>
      <xdr:spPr>
        <a:xfrm>
          <a:off x="21612225" y="1733550"/>
          <a:ext cx="990686" cy="472481"/>
        </a:xfrm>
        <a:prstGeom prst="rect">
          <a:avLst/>
        </a:prstGeom>
      </xdr:spPr>
    </xdr:pic>
    <xdr:clientData/>
  </xdr:twoCellAnchor>
  <xdr:twoCellAnchor editAs="oneCell">
    <xdr:from>
      <xdr:col>28</xdr:col>
      <xdr:colOff>0</xdr:colOff>
      <xdr:row>11</xdr:row>
      <xdr:rowOff>76200</xdr:rowOff>
    </xdr:from>
    <xdr:to>
      <xdr:col>30</xdr:col>
      <xdr:colOff>236346</xdr:colOff>
      <xdr:row>13</xdr:row>
      <xdr:rowOff>11456</xdr:rowOff>
    </xdr:to>
    <xdr:pic>
      <xdr:nvPicPr>
        <xdr:cNvPr id="7" name="Picture 6">
          <a:extLst>
            <a:ext uri="{FF2B5EF4-FFF2-40B4-BE49-F238E27FC236}">
              <a16:creationId xmlns:a16="http://schemas.microsoft.com/office/drawing/2014/main" id="{42A3FAED-4F6A-C40C-E263-3B79E3485D0D}"/>
            </a:ext>
          </a:extLst>
        </xdr:cNvPr>
        <xdr:cNvPicPr>
          <a:picLocks noChangeAspect="1"/>
        </xdr:cNvPicPr>
      </xdr:nvPicPr>
      <xdr:blipFill>
        <a:blip xmlns:r="http://schemas.openxmlformats.org/officeDocument/2006/relationships" r:embed="rId6"/>
        <a:stretch>
          <a:fillRect/>
        </a:stretch>
      </xdr:blipFill>
      <xdr:spPr>
        <a:xfrm>
          <a:off x="21612225" y="2305050"/>
          <a:ext cx="1455546" cy="297206"/>
        </a:xfrm>
        <a:prstGeom prst="rect">
          <a:avLst/>
        </a:prstGeom>
      </xdr:spPr>
    </xdr:pic>
    <xdr:clientData/>
  </xdr:twoCellAnchor>
  <xdr:twoCellAnchor editAs="oneCell">
    <xdr:from>
      <xdr:col>28</xdr:col>
      <xdr:colOff>0</xdr:colOff>
      <xdr:row>14</xdr:row>
      <xdr:rowOff>47625</xdr:rowOff>
    </xdr:from>
    <xdr:to>
      <xdr:col>30</xdr:col>
      <xdr:colOff>297311</xdr:colOff>
      <xdr:row>15</xdr:row>
      <xdr:rowOff>110511</xdr:rowOff>
    </xdr:to>
    <xdr:pic>
      <xdr:nvPicPr>
        <xdr:cNvPr id="8" name="Picture 7">
          <a:extLst>
            <a:ext uri="{FF2B5EF4-FFF2-40B4-BE49-F238E27FC236}">
              <a16:creationId xmlns:a16="http://schemas.microsoft.com/office/drawing/2014/main" id="{CC5952C0-E119-84A8-AA15-D7E7DC8B816C}"/>
            </a:ext>
          </a:extLst>
        </xdr:cNvPr>
        <xdr:cNvPicPr>
          <a:picLocks noChangeAspect="1"/>
        </xdr:cNvPicPr>
      </xdr:nvPicPr>
      <xdr:blipFill>
        <a:blip xmlns:r="http://schemas.openxmlformats.org/officeDocument/2006/relationships" r:embed="rId7"/>
        <a:stretch>
          <a:fillRect/>
        </a:stretch>
      </xdr:blipFill>
      <xdr:spPr>
        <a:xfrm>
          <a:off x="21612225" y="2819400"/>
          <a:ext cx="1516511" cy="243861"/>
        </a:xfrm>
        <a:prstGeom prst="rect">
          <a:avLst/>
        </a:prstGeom>
      </xdr:spPr>
    </xdr:pic>
    <xdr:clientData/>
  </xdr:twoCellAnchor>
  <xdr:twoCellAnchor editAs="oneCell">
    <xdr:from>
      <xdr:col>28</xdr:col>
      <xdr:colOff>0</xdr:colOff>
      <xdr:row>16</xdr:row>
      <xdr:rowOff>0</xdr:rowOff>
    </xdr:from>
    <xdr:to>
      <xdr:col>29</xdr:col>
      <xdr:colOff>579223</xdr:colOff>
      <xdr:row>18</xdr:row>
      <xdr:rowOff>133393</xdr:rowOff>
    </xdr:to>
    <xdr:pic>
      <xdr:nvPicPr>
        <xdr:cNvPr id="9" name="Picture 8">
          <a:extLst>
            <a:ext uri="{FF2B5EF4-FFF2-40B4-BE49-F238E27FC236}">
              <a16:creationId xmlns:a16="http://schemas.microsoft.com/office/drawing/2014/main" id="{BB4FA6BF-6BA2-7E8C-7857-685A332EAE4D}"/>
            </a:ext>
          </a:extLst>
        </xdr:cNvPr>
        <xdr:cNvPicPr>
          <a:picLocks noChangeAspect="1"/>
        </xdr:cNvPicPr>
      </xdr:nvPicPr>
      <xdr:blipFill>
        <a:blip xmlns:r="http://schemas.openxmlformats.org/officeDocument/2006/relationships" r:embed="rId8"/>
        <a:stretch>
          <a:fillRect/>
        </a:stretch>
      </xdr:blipFill>
      <xdr:spPr>
        <a:xfrm>
          <a:off x="21612225" y="3133725"/>
          <a:ext cx="1188823" cy="495343"/>
        </a:xfrm>
        <a:prstGeom prst="rect">
          <a:avLst/>
        </a:prstGeom>
      </xdr:spPr>
    </xdr:pic>
    <xdr:clientData/>
  </xdr:twoCellAnchor>
  <xdr:twoCellAnchor editAs="oneCell">
    <xdr:from>
      <xdr:col>28</xdr:col>
      <xdr:colOff>0</xdr:colOff>
      <xdr:row>24</xdr:row>
      <xdr:rowOff>104775</xdr:rowOff>
    </xdr:from>
    <xdr:to>
      <xdr:col>29</xdr:col>
      <xdr:colOff>221052</xdr:colOff>
      <xdr:row>25</xdr:row>
      <xdr:rowOff>339128</xdr:rowOff>
    </xdr:to>
    <xdr:pic>
      <xdr:nvPicPr>
        <xdr:cNvPr id="10" name="Picture 9">
          <a:extLst>
            <a:ext uri="{FF2B5EF4-FFF2-40B4-BE49-F238E27FC236}">
              <a16:creationId xmlns:a16="http://schemas.microsoft.com/office/drawing/2014/main" id="{4197AB96-CCB6-A3D7-2808-D53497A3D221}"/>
            </a:ext>
          </a:extLst>
        </xdr:cNvPr>
        <xdr:cNvPicPr>
          <a:picLocks noChangeAspect="1"/>
        </xdr:cNvPicPr>
      </xdr:nvPicPr>
      <xdr:blipFill>
        <a:blip xmlns:r="http://schemas.openxmlformats.org/officeDocument/2006/relationships" r:embed="rId9"/>
        <a:stretch>
          <a:fillRect/>
        </a:stretch>
      </xdr:blipFill>
      <xdr:spPr>
        <a:xfrm>
          <a:off x="21612225" y="4686300"/>
          <a:ext cx="830652" cy="434378"/>
        </a:xfrm>
        <a:prstGeom prst="rect">
          <a:avLst/>
        </a:prstGeom>
      </xdr:spPr>
    </xdr:pic>
    <xdr:clientData/>
  </xdr:twoCellAnchor>
  <xdr:twoCellAnchor editAs="oneCell">
    <xdr:from>
      <xdr:col>28</xdr:col>
      <xdr:colOff>0</xdr:colOff>
      <xdr:row>19</xdr:row>
      <xdr:rowOff>47625</xdr:rowOff>
    </xdr:from>
    <xdr:to>
      <xdr:col>30</xdr:col>
      <xdr:colOff>198243</xdr:colOff>
      <xdr:row>20</xdr:row>
      <xdr:rowOff>148614</xdr:rowOff>
    </xdr:to>
    <xdr:pic>
      <xdr:nvPicPr>
        <xdr:cNvPr id="11" name="Picture 10">
          <a:extLst>
            <a:ext uri="{FF2B5EF4-FFF2-40B4-BE49-F238E27FC236}">
              <a16:creationId xmlns:a16="http://schemas.microsoft.com/office/drawing/2014/main" id="{42A5357D-CC23-FC17-ABE0-9A5C59DB70F1}"/>
            </a:ext>
          </a:extLst>
        </xdr:cNvPr>
        <xdr:cNvPicPr>
          <a:picLocks noChangeAspect="1"/>
        </xdr:cNvPicPr>
      </xdr:nvPicPr>
      <xdr:blipFill>
        <a:blip xmlns:r="http://schemas.openxmlformats.org/officeDocument/2006/relationships" r:embed="rId10"/>
        <a:stretch>
          <a:fillRect/>
        </a:stretch>
      </xdr:blipFill>
      <xdr:spPr>
        <a:xfrm>
          <a:off x="21612225" y="3724275"/>
          <a:ext cx="1417443" cy="281964"/>
        </a:xfrm>
        <a:prstGeom prst="rect">
          <a:avLst/>
        </a:prstGeom>
      </xdr:spPr>
    </xdr:pic>
    <xdr:clientData/>
  </xdr:twoCellAnchor>
  <xdr:twoCellAnchor editAs="oneCell">
    <xdr:from>
      <xdr:col>28</xdr:col>
      <xdr:colOff>0</xdr:colOff>
      <xdr:row>22</xdr:row>
      <xdr:rowOff>0</xdr:rowOff>
    </xdr:from>
    <xdr:to>
      <xdr:col>29</xdr:col>
      <xdr:colOff>129604</xdr:colOff>
      <xdr:row>23</xdr:row>
      <xdr:rowOff>32403</xdr:rowOff>
    </xdr:to>
    <xdr:pic>
      <xdr:nvPicPr>
        <xdr:cNvPr id="12" name="Picture 11">
          <a:extLst>
            <a:ext uri="{FF2B5EF4-FFF2-40B4-BE49-F238E27FC236}">
              <a16:creationId xmlns:a16="http://schemas.microsoft.com/office/drawing/2014/main" id="{284EB6CC-E4DA-54CD-9A92-EE8A432B990B}"/>
            </a:ext>
          </a:extLst>
        </xdr:cNvPr>
        <xdr:cNvPicPr>
          <a:picLocks noChangeAspect="1"/>
        </xdr:cNvPicPr>
      </xdr:nvPicPr>
      <xdr:blipFill>
        <a:blip xmlns:r="http://schemas.openxmlformats.org/officeDocument/2006/relationships" r:embed="rId11"/>
        <a:stretch>
          <a:fillRect/>
        </a:stretch>
      </xdr:blipFill>
      <xdr:spPr>
        <a:xfrm>
          <a:off x="21612225" y="4219575"/>
          <a:ext cx="739204" cy="213378"/>
        </a:xfrm>
        <a:prstGeom prst="rect">
          <a:avLst/>
        </a:prstGeom>
      </xdr:spPr>
    </xdr:pic>
    <xdr:clientData/>
  </xdr:twoCellAnchor>
  <xdr:oneCellAnchor>
    <xdr:from>
      <xdr:col>17</xdr:col>
      <xdr:colOff>342900</xdr:colOff>
      <xdr:row>23</xdr:row>
      <xdr:rowOff>123825</xdr:rowOff>
    </xdr:from>
    <xdr:ext cx="184731" cy="264560"/>
    <xdr:sp macro="" textlink="">
      <xdr:nvSpPr>
        <xdr:cNvPr id="13" name="TextBox 12">
          <a:extLst>
            <a:ext uri="{FF2B5EF4-FFF2-40B4-BE49-F238E27FC236}">
              <a16:creationId xmlns:a16="http://schemas.microsoft.com/office/drawing/2014/main" id="{5870A97B-807B-952E-E0AB-BCC44298A726}"/>
            </a:ext>
          </a:extLst>
        </xdr:cNvPr>
        <xdr:cNvSpPr txBox="1"/>
      </xdr:nvSpPr>
      <xdr:spPr>
        <a:xfrm>
          <a:off x="15249525" y="45243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18</xdr:col>
      <xdr:colOff>9525</xdr:colOff>
      <xdr:row>3</xdr:row>
      <xdr:rowOff>114299</xdr:rowOff>
    </xdr:from>
    <xdr:to>
      <xdr:col>27</xdr:col>
      <xdr:colOff>533400</xdr:colOff>
      <xdr:row>36</xdr:row>
      <xdr:rowOff>95249</xdr:rowOff>
    </xdr:to>
    <xdr:sp macro="" textlink="">
      <xdr:nvSpPr>
        <xdr:cNvPr id="14" name="TextBox 13">
          <a:extLst>
            <a:ext uri="{FF2B5EF4-FFF2-40B4-BE49-F238E27FC236}">
              <a16:creationId xmlns:a16="http://schemas.microsoft.com/office/drawing/2014/main" id="{F8F493DC-EFF2-AFC6-2422-42B71D9945B8}"/>
            </a:ext>
          </a:extLst>
        </xdr:cNvPr>
        <xdr:cNvSpPr txBox="1"/>
      </xdr:nvSpPr>
      <xdr:spPr>
        <a:xfrm>
          <a:off x="15525750" y="676274"/>
          <a:ext cx="6010275" cy="6410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Sheet Agenda:</a:t>
          </a:r>
        </a:p>
        <a:p>
          <a:r>
            <a:rPr lang="en-US" sz="1200"/>
            <a:t>Eliminating unacceptable options using pressure drop per plate, weeping calculated before, and residence time on the tray. Final sizing will be obtained.</a:t>
          </a:r>
        </a:p>
        <a:p>
          <a:endParaRPr lang="en-US" sz="1200"/>
        </a:p>
        <a:p>
          <a:r>
            <a:rPr lang="en-US" sz="1200" b="1"/>
            <a:t>Description:</a:t>
          </a:r>
        </a:p>
        <a:p>
          <a:r>
            <a:rPr lang="en-US" sz="1200"/>
            <a:t>Pressure drop will be calculated for tray number 1,4, and 7 but highest pressure drop will accure at tray number 7. In Table 4.1 pressure drop is being calculated for different trays, downcomer areas, hole areas, and weir heights for a 32 inch diameter column. Same calculations can be found for a 36 inch diameter column in Table 4.2.</a:t>
          </a:r>
        </a:p>
        <a:p>
          <a:r>
            <a:rPr lang="en-US" sz="1200"/>
            <a:t>Firstly, maximum velocity in downcomer is calculated by using volumetric flow rates and areas which have been calculated before. Coefficient C0 can be read from the first figure and as a result dry plate pressure drop will be obtained. As residual head only depends on density, it can be easily obtained and finaly total liquid head is obtained. Using the first equation, pressure drop in kpa is reported to have a more familiar unit to compare the values. Pressure drops over 3.5 kPa are colored red because that would be considerably higher than the typical pressure loss. Final sizings should result in the pressure drops which are colored green.</a:t>
          </a:r>
        </a:p>
        <a:p>
          <a:r>
            <a:rPr lang="en-US" sz="1200"/>
            <a:t>In Tables 4.3 and 4.4 for 32 and 36 inch diameter columns respectivly, the height of the bottom edge of the apron above the plate is considered 10 mm as a common value, so clearance could be obtained. This value will be compared to the downcomer area and the smaller one will be put in 6th equation with L</a:t>
          </a:r>
          <a:r>
            <a:rPr lang="en-US" sz="1200" baseline="-25000"/>
            <a:t>wd</a:t>
          </a:r>
          <a:r>
            <a:rPr lang="en-US" sz="1200"/>
            <a:t> be the mass liquid flow rate in downcomer in kg/s. Finaly backup height in the downcomer will be obtained. Compare the value to the available height in the downcomer (tray spacing + weir height) and it should be half or nearly half the amount, any value more than 70% of the downcomer height will be rejected instantly. Acceptable values are colored green. Residence time is calculated too and values between 3 and 6 seconds are colored green as proper values.</a:t>
          </a:r>
        </a:p>
        <a:p>
          <a:endParaRPr lang="en-US" sz="1200"/>
        </a:p>
        <a:p>
          <a:r>
            <a:rPr lang="en-US" sz="1200" b="1"/>
            <a:t>Sheet Results:</a:t>
          </a:r>
        </a:p>
        <a:p>
          <a:r>
            <a:rPr lang="en-US" sz="1200"/>
            <a:t>With regard to acceptable options obtained in this sheet and the previous one, the best option is colored in dark green color, and is vividly described at the end of the sheet. For this option we will check flooding once again and as shown in Table 4.5, it is below the 75% which was considered at the begining.</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10</xdr:col>
      <xdr:colOff>428625</xdr:colOff>
      <xdr:row>7</xdr:row>
      <xdr:rowOff>152400</xdr:rowOff>
    </xdr:from>
    <xdr:to>
      <xdr:col>15</xdr:col>
      <xdr:colOff>249805</xdr:colOff>
      <xdr:row>23</xdr:row>
      <xdr:rowOff>139344</xdr:rowOff>
    </xdr:to>
    <xdr:pic>
      <xdr:nvPicPr>
        <xdr:cNvPr id="2" name="Picture 1">
          <a:extLst>
            <a:ext uri="{FF2B5EF4-FFF2-40B4-BE49-F238E27FC236}">
              <a16:creationId xmlns:a16="http://schemas.microsoft.com/office/drawing/2014/main" id="{37C161B7-94D3-563E-A38B-6827D2BDBB77}"/>
            </a:ext>
          </a:extLst>
        </xdr:cNvPr>
        <xdr:cNvPicPr>
          <a:picLocks noChangeAspect="1"/>
        </xdr:cNvPicPr>
      </xdr:nvPicPr>
      <xdr:blipFill>
        <a:blip xmlns:r="http://schemas.openxmlformats.org/officeDocument/2006/relationships" r:embed="rId1"/>
        <a:stretch>
          <a:fillRect/>
        </a:stretch>
      </xdr:blipFill>
      <xdr:spPr>
        <a:xfrm>
          <a:off x="9401175" y="1485900"/>
          <a:ext cx="2888230" cy="3215919"/>
        </a:xfrm>
        <a:prstGeom prst="rect">
          <a:avLst/>
        </a:prstGeom>
      </xdr:spPr>
    </xdr:pic>
    <xdr:clientData/>
  </xdr:twoCellAnchor>
  <xdr:twoCellAnchor editAs="oneCell">
    <xdr:from>
      <xdr:col>15</xdr:col>
      <xdr:colOff>476250</xdr:colOff>
      <xdr:row>7</xdr:row>
      <xdr:rowOff>142875</xdr:rowOff>
    </xdr:from>
    <xdr:to>
      <xdr:col>20</xdr:col>
      <xdr:colOff>392687</xdr:colOff>
      <xdr:row>23</xdr:row>
      <xdr:rowOff>106957</xdr:rowOff>
    </xdr:to>
    <xdr:pic>
      <xdr:nvPicPr>
        <xdr:cNvPr id="3" name="Picture 2">
          <a:extLst>
            <a:ext uri="{FF2B5EF4-FFF2-40B4-BE49-F238E27FC236}">
              <a16:creationId xmlns:a16="http://schemas.microsoft.com/office/drawing/2014/main" id="{4808B948-44F9-E208-D974-5347D4AD0411}"/>
            </a:ext>
          </a:extLst>
        </xdr:cNvPr>
        <xdr:cNvPicPr>
          <a:picLocks noChangeAspect="1"/>
        </xdr:cNvPicPr>
      </xdr:nvPicPr>
      <xdr:blipFill>
        <a:blip xmlns:r="http://schemas.openxmlformats.org/officeDocument/2006/relationships" r:embed="rId2"/>
        <a:stretch>
          <a:fillRect/>
        </a:stretch>
      </xdr:blipFill>
      <xdr:spPr>
        <a:xfrm>
          <a:off x="12515850" y="1476375"/>
          <a:ext cx="2964437" cy="3193057"/>
        </a:xfrm>
        <a:prstGeom prst="rect">
          <a:avLst/>
        </a:prstGeom>
      </xdr:spPr>
    </xdr:pic>
    <xdr:clientData/>
  </xdr:twoCellAnchor>
  <xdr:twoCellAnchor editAs="oneCell">
    <xdr:from>
      <xdr:col>6</xdr:col>
      <xdr:colOff>581025</xdr:colOff>
      <xdr:row>25</xdr:row>
      <xdr:rowOff>66675</xdr:rowOff>
    </xdr:from>
    <xdr:to>
      <xdr:col>10</xdr:col>
      <xdr:colOff>573980</xdr:colOff>
      <xdr:row>40</xdr:row>
      <xdr:rowOff>171450</xdr:rowOff>
    </xdr:to>
    <xdr:pic>
      <xdr:nvPicPr>
        <xdr:cNvPr id="5" name="Picture 4">
          <a:extLst>
            <a:ext uri="{FF2B5EF4-FFF2-40B4-BE49-F238E27FC236}">
              <a16:creationId xmlns:a16="http://schemas.microsoft.com/office/drawing/2014/main" id="{CF66F614-C2AB-36FC-5E91-CEB5B19D4DA1}"/>
            </a:ext>
          </a:extLst>
        </xdr:cNvPr>
        <xdr:cNvPicPr>
          <a:picLocks noChangeAspect="1"/>
        </xdr:cNvPicPr>
      </xdr:nvPicPr>
      <xdr:blipFill>
        <a:blip xmlns:r="http://schemas.openxmlformats.org/officeDocument/2006/relationships" r:embed="rId3"/>
        <a:stretch>
          <a:fillRect/>
        </a:stretch>
      </xdr:blipFill>
      <xdr:spPr>
        <a:xfrm>
          <a:off x="6410325" y="5010150"/>
          <a:ext cx="3136205" cy="2828925"/>
        </a:xfrm>
        <a:prstGeom prst="rect">
          <a:avLst/>
        </a:prstGeom>
      </xdr:spPr>
    </xdr:pic>
    <xdr:clientData/>
  </xdr:twoCellAnchor>
  <xdr:twoCellAnchor editAs="oneCell">
    <xdr:from>
      <xdr:col>6</xdr:col>
      <xdr:colOff>609600</xdr:colOff>
      <xdr:row>41</xdr:row>
      <xdr:rowOff>38100</xdr:rowOff>
    </xdr:from>
    <xdr:to>
      <xdr:col>11</xdr:col>
      <xdr:colOff>74449</xdr:colOff>
      <xdr:row>53</xdr:row>
      <xdr:rowOff>0</xdr:rowOff>
    </xdr:to>
    <xdr:pic>
      <xdr:nvPicPr>
        <xdr:cNvPr id="6" name="Picture 5">
          <a:extLst>
            <a:ext uri="{FF2B5EF4-FFF2-40B4-BE49-F238E27FC236}">
              <a16:creationId xmlns:a16="http://schemas.microsoft.com/office/drawing/2014/main" id="{6A04A46C-8F4F-06F0-CDE5-3B9B13E34890}"/>
            </a:ext>
          </a:extLst>
        </xdr:cNvPr>
        <xdr:cNvPicPr>
          <a:picLocks noChangeAspect="1"/>
        </xdr:cNvPicPr>
      </xdr:nvPicPr>
      <xdr:blipFill>
        <a:blip xmlns:r="http://schemas.openxmlformats.org/officeDocument/2006/relationships" r:embed="rId4"/>
        <a:stretch>
          <a:fillRect/>
        </a:stretch>
      </xdr:blipFill>
      <xdr:spPr>
        <a:xfrm>
          <a:off x="6438900" y="7877175"/>
          <a:ext cx="3217699" cy="2133600"/>
        </a:xfrm>
        <a:prstGeom prst="rect">
          <a:avLst/>
        </a:prstGeom>
      </xdr:spPr>
    </xdr:pic>
    <xdr:clientData/>
  </xdr:twoCellAnchor>
  <xdr:twoCellAnchor editAs="oneCell">
    <xdr:from>
      <xdr:col>1</xdr:col>
      <xdr:colOff>0</xdr:colOff>
      <xdr:row>26</xdr:row>
      <xdr:rowOff>0</xdr:rowOff>
    </xdr:from>
    <xdr:to>
      <xdr:col>6</xdr:col>
      <xdr:colOff>505271</xdr:colOff>
      <xdr:row>53</xdr:row>
      <xdr:rowOff>123825</xdr:rowOff>
    </xdr:to>
    <xdr:pic>
      <xdr:nvPicPr>
        <xdr:cNvPr id="7" name="Picture 6">
          <a:extLst>
            <a:ext uri="{FF2B5EF4-FFF2-40B4-BE49-F238E27FC236}">
              <a16:creationId xmlns:a16="http://schemas.microsoft.com/office/drawing/2014/main" id="{8DE556AD-56B2-0FAE-897A-1A04B69434AC}"/>
            </a:ext>
          </a:extLst>
        </xdr:cNvPr>
        <xdr:cNvPicPr>
          <a:picLocks noChangeAspect="1"/>
        </xdr:cNvPicPr>
      </xdr:nvPicPr>
      <xdr:blipFill>
        <a:blip xmlns:r="http://schemas.openxmlformats.org/officeDocument/2006/relationships" r:embed="rId5"/>
        <a:stretch>
          <a:fillRect/>
        </a:stretch>
      </xdr:blipFill>
      <xdr:spPr>
        <a:xfrm>
          <a:off x="609600" y="5124450"/>
          <a:ext cx="5724971" cy="5019675"/>
        </a:xfrm>
        <a:prstGeom prst="rect">
          <a:avLst/>
        </a:prstGeom>
      </xdr:spPr>
    </xdr:pic>
    <xdr:clientData/>
  </xdr:twoCellAnchor>
  <xdr:twoCellAnchor>
    <xdr:from>
      <xdr:col>11</xdr:col>
      <xdr:colOff>609600</xdr:colOff>
      <xdr:row>26</xdr:row>
      <xdr:rowOff>28574</xdr:rowOff>
    </xdr:from>
    <xdr:to>
      <xdr:col>19</xdr:col>
      <xdr:colOff>285750</xdr:colOff>
      <xdr:row>41</xdr:row>
      <xdr:rowOff>47624</xdr:rowOff>
    </xdr:to>
    <xdr:sp macro="" textlink="">
      <xdr:nvSpPr>
        <xdr:cNvPr id="4" name="TextBox 3">
          <a:extLst>
            <a:ext uri="{FF2B5EF4-FFF2-40B4-BE49-F238E27FC236}">
              <a16:creationId xmlns:a16="http://schemas.microsoft.com/office/drawing/2014/main" id="{2BCDDB45-0412-D8AF-0C65-2028C9071DF5}"/>
            </a:ext>
          </a:extLst>
        </xdr:cNvPr>
        <xdr:cNvSpPr txBox="1"/>
      </xdr:nvSpPr>
      <xdr:spPr>
        <a:xfrm>
          <a:off x="10191750" y="5153024"/>
          <a:ext cx="4572000" cy="2733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Sheet Agenda:</a:t>
          </a:r>
        </a:p>
        <a:p>
          <a:r>
            <a:rPr lang="en-US" sz="1200"/>
            <a:t>Finding required parameters to draw plate layout such as number of holes, clearance to the walls, downcomer lenght, etc.</a:t>
          </a:r>
        </a:p>
        <a:p>
          <a:endParaRPr lang="en-US" sz="1200"/>
        </a:p>
        <a:p>
          <a:r>
            <a:rPr lang="en-US" sz="1200" b="1"/>
            <a:t>Description:</a:t>
          </a:r>
        </a:p>
        <a:p>
          <a:r>
            <a:rPr lang="en-US" sz="1200"/>
            <a:t>In Table 5.1 useful parameters of the plate which have been finilized are summerized to be better accessible. Then in Table 5.2 number of the holes will be obtained and the layout will be drawn in AutoCAD. Full description of the procedure could be found in the table.</a:t>
          </a:r>
        </a:p>
        <a:p>
          <a:endParaRPr lang="en-US" sz="1200"/>
        </a:p>
        <a:p>
          <a:r>
            <a:rPr lang="en-US" sz="1200" b="1"/>
            <a:t>Sheet Results:</a:t>
          </a:r>
        </a:p>
        <a:p>
          <a:r>
            <a:rPr lang="en-US" sz="1200"/>
            <a:t>Detailed plate layout with sizings.</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523876</xdr:colOff>
      <xdr:row>0</xdr:row>
      <xdr:rowOff>180974</xdr:rowOff>
    </xdr:from>
    <xdr:to>
      <xdr:col>12</xdr:col>
      <xdr:colOff>774683</xdr:colOff>
      <xdr:row>28</xdr:row>
      <xdr:rowOff>66674</xdr:rowOff>
    </xdr:to>
    <xdr:pic>
      <xdr:nvPicPr>
        <xdr:cNvPr id="2" name="Picture 1">
          <a:extLst>
            <a:ext uri="{FF2B5EF4-FFF2-40B4-BE49-F238E27FC236}">
              <a16:creationId xmlns:a16="http://schemas.microsoft.com/office/drawing/2014/main" id="{9B3C3EFB-67B2-D329-B4F3-E8B09B6A6824}"/>
            </a:ext>
          </a:extLst>
        </xdr:cNvPr>
        <xdr:cNvPicPr>
          <a:picLocks noChangeAspect="1"/>
        </xdr:cNvPicPr>
      </xdr:nvPicPr>
      <xdr:blipFill>
        <a:blip xmlns:r="http://schemas.openxmlformats.org/officeDocument/2006/relationships" r:embed="rId1"/>
        <a:stretch>
          <a:fillRect/>
        </a:stretch>
      </xdr:blipFill>
      <xdr:spPr>
        <a:xfrm>
          <a:off x="7829551" y="180974"/>
          <a:ext cx="4518007" cy="5286375"/>
        </a:xfrm>
        <a:prstGeom prst="rect">
          <a:avLst/>
        </a:prstGeom>
      </xdr:spPr>
    </xdr:pic>
    <xdr:clientData/>
  </xdr:twoCellAnchor>
  <xdr:twoCellAnchor>
    <xdr:from>
      <xdr:col>5</xdr:col>
      <xdr:colOff>514350</xdr:colOff>
      <xdr:row>31</xdr:row>
      <xdr:rowOff>47624</xdr:rowOff>
    </xdr:from>
    <xdr:to>
      <xdr:col>12</xdr:col>
      <xdr:colOff>647700</xdr:colOff>
      <xdr:row>47</xdr:row>
      <xdr:rowOff>114299</xdr:rowOff>
    </xdr:to>
    <xdr:graphicFrame macro="">
      <xdr:nvGraphicFramePr>
        <xdr:cNvPr id="5" name="Chart 4">
          <a:extLst>
            <a:ext uri="{FF2B5EF4-FFF2-40B4-BE49-F238E27FC236}">
              <a16:creationId xmlns:a16="http://schemas.microsoft.com/office/drawing/2014/main" id="{D8373E42-9D9E-980C-84BC-88ED5D51E7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19</xdr:col>
      <xdr:colOff>0</xdr:colOff>
      <xdr:row>2</xdr:row>
      <xdr:rowOff>0</xdr:rowOff>
    </xdr:from>
    <xdr:to>
      <xdr:col>21</xdr:col>
      <xdr:colOff>586897</xdr:colOff>
      <xdr:row>4</xdr:row>
      <xdr:rowOff>22895</xdr:rowOff>
    </xdr:to>
    <xdr:pic>
      <xdr:nvPicPr>
        <xdr:cNvPr id="3" name="Picture 2">
          <a:extLst>
            <a:ext uri="{FF2B5EF4-FFF2-40B4-BE49-F238E27FC236}">
              <a16:creationId xmlns:a16="http://schemas.microsoft.com/office/drawing/2014/main" id="{BFAC4685-E423-DB4E-0D1C-B94FB0FEB8FB}"/>
            </a:ext>
          </a:extLst>
        </xdr:cNvPr>
        <xdr:cNvPicPr>
          <a:picLocks noChangeAspect="1"/>
        </xdr:cNvPicPr>
      </xdr:nvPicPr>
      <xdr:blipFill>
        <a:blip xmlns:r="http://schemas.openxmlformats.org/officeDocument/2006/relationships" r:embed="rId3"/>
        <a:stretch>
          <a:fillRect/>
        </a:stretch>
      </xdr:blipFill>
      <xdr:spPr>
        <a:xfrm>
          <a:off x="16011525" y="381000"/>
          <a:ext cx="1806097" cy="403895"/>
        </a:xfrm>
        <a:prstGeom prst="rect">
          <a:avLst/>
        </a:prstGeom>
      </xdr:spPr>
    </xdr:pic>
    <xdr:clientData/>
  </xdr:twoCellAnchor>
  <xdr:twoCellAnchor editAs="oneCell">
    <xdr:from>
      <xdr:col>19</xdr:col>
      <xdr:colOff>0</xdr:colOff>
      <xdr:row>5</xdr:row>
      <xdr:rowOff>0</xdr:rowOff>
    </xdr:from>
    <xdr:to>
      <xdr:col>22</xdr:col>
      <xdr:colOff>510743</xdr:colOff>
      <xdr:row>7</xdr:row>
      <xdr:rowOff>3842</xdr:rowOff>
    </xdr:to>
    <xdr:pic>
      <xdr:nvPicPr>
        <xdr:cNvPr id="4" name="Picture 3">
          <a:extLst>
            <a:ext uri="{FF2B5EF4-FFF2-40B4-BE49-F238E27FC236}">
              <a16:creationId xmlns:a16="http://schemas.microsoft.com/office/drawing/2014/main" id="{8D481CF1-DE96-CEA8-920D-A728E0F57B60}"/>
            </a:ext>
          </a:extLst>
        </xdr:cNvPr>
        <xdr:cNvPicPr>
          <a:picLocks noChangeAspect="1"/>
        </xdr:cNvPicPr>
      </xdr:nvPicPr>
      <xdr:blipFill>
        <a:blip xmlns:r="http://schemas.openxmlformats.org/officeDocument/2006/relationships" r:embed="rId4"/>
        <a:stretch>
          <a:fillRect/>
        </a:stretch>
      </xdr:blipFill>
      <xdr:spPr>
        <a:xfrm>
          <a:off x="16011525" y="942975"/>
          <a:ext cx="2339543" cy="365792"/>
        </a:xfrm>
        <a:prstGeom prst="rect">
          <a:avLst/>
        </a:prstGeom>
      </xdr:spPr>
    </xdr:pic>
    <xdr:clientData/>
  </xdr:twoCellAnchor>
  <xdr:twoCellAnchor>
    <xdr:from>
      <xdr:col>13</xdr:col>
      <xdr:colOff>114300</xdr:colOff>
      <xdr:row>1</xdr:row>
      <xdr:rowOff>0</xdr:rowOff>
    </xdr:from>
    <xdr:to>
      <xdr:col>18</xdr:col>
      <xdr:colOff>409575</xdr:colOff>
      <xdr:row>50</xdr:row>
      <xdr:rowOff>57150</xdr:rowOff>
    </xdr:to>
    <xdr:sp macro="" textlink="">
      <xdr:nvSpPr>
        <xdr:cNvPr id="6" name="TextBox 5">
          <a:extLst>
            <a:ext uri="{FF2B5EF4-FFF2-40B4-BE49-F238E27FC236}">
              <a16:creationId xmlns:a16="http://schemas.microsoft.com/office/drawing/2014/main" id="{80BDD93F-542D-B000-B945-DB2B48E763E5}"/>
            </a:ext>
          </a:extLst>
        </xdr:cNvPr>
        <xdr:cNvSpPr txBox="1"/>
      </xdr:nvSpPr>
      <xdr:spPr>
        <a:xfrm>
          <a:off x="12468225" y="180975"/>
          <a:ext cx="3343275" cy="9658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Sheet Agenda:</a:t>
          </a:r>
        </a:p>
        <a:p>
          <a:r>
            <a:rPr lang="en-US" sz="1200"/>
            <a:t>Calculating the weight of the column, estimate nozzles sizings, and draw a replicate of the whole column.</a:t>
          </a:r>
        </a:p>
        <a:p>
          <a:endParaRPr lang="en-US" sz="1200"/>
        </a:p>
        <a:p>
          <a:r>
            <a:rPr lang="en-US" sz="1200" b="1"/>
            <a:t>Description:</a:t>
          </a:r>
        </a:p>
        <a:p>
          <a:r>
            <a:rPr lang="en-US" sz="1200"/>
            <a:t>In Table 6.1 wall and head thickness are calculated by using equations seen on the righthand side. As the shell and head thickness are very close, we will consider them as one unit value. Minimum thickness is calculated and is equal to 1.7 mm, but to stay in the safe spot and avoid any mechanical difficalties due to transporting the column, wind, etc. and to roundup the number, the tickness is considered as 3 mm. ASME section IIIV D.1 suggested the wall thickness to be at very least 1/16 inch or 1.5875 mm.  </a:t>
          </a:r>
        </a:p>
        <a:p>
          <a:r>
            <a:rPr lang="en-US" sz="1200"/>
            <a:t>In Table 6.2 diameter of the nozzles are roughly estimated as so for liquids we kept the velocity low enough to avoid any damage to the internals and for vapor typical velocity for nozzles is considered. Green boxes show that the values are acceptable.</a:t>
          </a:r>
        </a:p>
        <a:p>
          <a:r>
            <a:rPr lang="en-US" sz="1200"/>
            <a:t>In Table 6.3 weight calculation is applied to shell, heads, plates, downcomer walls, and other parts that for simplification and lack of information is roughly estimated as 15% of sum of the weight calculated. Simplification such as considering the shell to be a perfect sylinder, considering heads to be 1.2 times the flat equivalent head and so on.</a:t>
          </a:r>
        </a:p>
        <a:p>
          <a:endParaRPr lang="en-US" sz="1200"/>
        </a:p>
        <a:p>
          <a:r>
            <a:rPr lang="en-US" sz="1200"/>
            <a:t>Height</a:t>
          </a:r>
          <a:r>
            <a:rPr lang="en-US" sz="1200" baseline="0"/>
            <a:t> of the column is calculated such that tray spacing is the same for each tray except the feed tray which has an additional 100 mm spacing because of the nozzle. At the top and the bottom of the column a 610 mm space is considered to make collection of liquid and vapor easier and have enough space for adding new internals. </a:t>
          </a:r>
        </a:p>
        <a:p>
          <a:endParaRPr lang="en-US" sz="1200" baseline="0"/>
        </a:p>
        <a:p>
          <a:r>
            <a:rPr lang="en-US" sz="1200"/>
            <a:t>As</a:t>
          </a:r>
          <a:r>
            <a:rPr lang="en-US" sz="1200" baseline="0"/>
            <a:t> our constrain limit us to have ellipsoidal headings, an similar ellipsoidal head is used both at the top and bottom of the column and thickness calculations are based on relations of ellipsoidal headings. </a:t>
          </a:r>
          <a:endParaRPr lang="en-US" sz="1200"/>
        </a:p>
        <a:p>
          <a:endParaRPr lang="en-US" sz="1200"/>
        </a:p>
        <a:p>
          <a:r>
            <a:rPr lang="en-US" sz="1200" b="1"/>
            <a:t>Sheet Result:</a:t>
          </a:r>
        </a:p>
        <a:p>
          <a:r>
            <a:rPr lang="en-US" sz="1200"/>
            <a:t>Total weight will be obtained which is going to be used in cost calculations. A scaled drawing of the column is prepared and a bar chart shows the portion of each part from the total weight.</a:t>
          </a:r>
        </a:p>
        <a:p>
          <a:endParaRPr lang="en-US" sz="1200"/>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6</xdr:col>
      <xdr:colOff>15240</xdr:colOff>
      <xdr:row>17</xdr:row>
      <xdr:rowOff>121920</xdr:rowOff>
    </xdr:from>
    <xdr:to>
      <xdr:col>16</xdr:col>
      <xdr:colOff>160561</xdr:colOff>
      <xdr:row>36</xdr:row>
      <xdr:rowOff>291</xdr:rowOff>
    </xdr:to>
    <xdr:pic>
      <xdr:nvPicPr>
        <xdr:cNvPr id="4" name="Picture 3">
          <a:extLst>
            <a:ext uri="{FF2B5EF4-FFF2-40B4-BE49-F238E27FC236}">
              <a16:creationId xmlns:a16="http://schemas.microsoft.com/office/drawing/2014/main" id="{168C7319-D025-0872-3319-C56C17147E28}"/>
            </a:ext>
          </a:extLst>
        </xdr:cNvPr>
        <xdr:cNvPicPr>
          <a:picLocks noChangeAspect="1"/>
        </xdr:cNvPicPr>
      </xdr:nvPicPr>
      <xdr:blipFill>
        <a:blip xmlns:r="http://schemas.openxmlformats.org/officeDocument/2006/relationships" r:embed="rId1"/>
        <a:stretch>
          <a:fillRect/>
        </a:stretch>
      </xdr:blipFill>
      <xdr:spPr>
        <a:xfrm>
          <a:off x="6720840" y="3337560"/>
          <a:ext cx="6241321" cy="3353091"/>
        </a:xfrm>
        <a:prstGeom prst="rect">
          <a:avLst/>
        </a:prstGeom>
      </xdr:spPr>
    </xdr:pic>
    <xdr:clientData/>
  </xdr:twoCellAnchor>
  <xdr:twoCellAnchor editAs="oneCell">
    <xdr:from>
      <xdr:col>5</xdr:col>
      <xdr:colOff>586740</xdr:colOff>
      <xdr:row>0</xdr:row>
      <xdr:rowOff>121920</xdr:rowOff>
    </xdr:from>
    <xdr:to>
      <xdr:col>16</xdr:col>
      <xdr:colOff>168185</xdr:colOff>
      <xdr:row>16</xdr:row>
      <xdr:rowOff>61220</xdr:rowOff>
    </xdr:to>
    <xdr:pic>
      <xdr:nvPicPr>
        <xdr:cNvPr id="5" name="Picture 4">
          <a:extLst>
            <a:ext uri="{FF2B5EF4-FFF2-40B4-BE49-F238E27FC236}">
              <a16:creationId xmlns:a16="http://schemas.microsoft.com/office/drawing/2014/main" id="{DC997E6B-40DD-4892-BCCE-EA9DB9E05FD0}"/>
            </a:ext>
          </a:extLst>
        </xdr:cNvPr>
        <xdr:cNvPicPr>
          <a:picLocks noChangeAspect="1"/>
        </xdr:cNvPicPr>
      </xdr:nvPicPr>
      <xdr:blipFill>
        <a:blip xmlns:r="http://schemas.openxmlformats.org/officeDocument/2006/relationships" r:embed="rId2"/>
        <a:stretch>
          <a:fillRect/>
        </a:stretch>
      </xdr:blipFill>
      <xdr:spPr>
        <a:xfrm>
          <a:off x="6682740" y="121920"/>
          <a:ext cx="6287045" cy="3002540"/>
        </a:xfrm>
        <a:prstGeom prst="rect">
          <a:avLst/>
        </a:prstGeom>
      </xdr:spPr>
    </xdr:pic>
    <xdr:clientData/>
  </xdr:twoCellAnchor>
  <xdr:oneCellAnchor>
    <xdr:from>
      <xdr:col>2</xdr:col>
      <xdr:colOff>462915</xdr:colOff>
      <xdr:row>17</xdr:row>
      <xdr:rowOff>9525</xdr:rowOff>
    </xdr:from>
    <xdr:ext cx="1042035" cy="422910"/>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B9222AB3-C883-02BF-C997-5D527DCDACC5}"/>
                </a:ext>
              </a:extLst>
            </xdr:cNvPr>
            <xdr:cNvSpPr txBox="1"/>
          </xdr:nvSpPr>
          <xdr:spPr>
            <a:xfrm>
              <a:off x="1920240" y="3257550"/>
              <a:ext cx="1042035" cy="4229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US" sz="1200" b="1" i="1">
                            <a:solidFill>
                              <a:schemeClr val="tx1"/>
                            </a:solidFill>
                            <a:latin typeface="Cambria Math" panose="02040503050406030204" pitchFamily="18" charset="0"/>
                          </a:rPr>
                        </m:ctrlPr>
                      </m:sSubPr>
                      <m:e>
                        <m:r>
                          <a:rPr lang="en-US" sz="1200" b="1" i="1">
                            <a:solidFill>
                              <a:schemeClr val="tx1"/>
                            </a:solidFill>
                            <a:latin typeface="Cambria Math" panose="02040503050406030204" pitchFamily="18" charset="0"/>
                          </a:rPr>
                          <m:t>𝑪</m:t>
                        </m:r>
                      </m:e>
                      <m:sub>
                        <m:r>
                          <a:rPr lang="en-US" sz="1200" b="1" i="1">
                            <a:solidFill>
                              <a:schemeClr val="tx1"/>
                            </a:solidFill>
                            <a:latin typeface="Cambria Math" panose="02040503050406030204" pitchFamily="18" charset="0"/>
                          </a:rPr>
                          <m:t>𝒆</m:t>
                        </m:r>
                      </m:sub>
                    </m:sSub>
                    <m:r>
                      <a:rPr lang="en-US" sz="1200" b="1" i="1">
                        <a:solidFill>
                          <a:schemeClr val="tx1"/>
                        </a:solidFill>
                        <a:latin typeface="Cambria Math" panose="02040503050406030204" pitchFamily="18" charset="0"/>
                      </a:rPr>
                      <m:t>=</m:t>
                    </m:r>
                    <m:r>
                      <a:rPr lang="en-US" sz="1200" b="1" i="1">
                        <a:solidFill>
                          <a:schemeClr val="tx1"/>
                        </a:solidFill>
                        <a:latin typeface="Cambria Math" panose="02040503050406030204" pitchFamily="18" charset="0"/>
                      </a:rPr>
                      <m:t>𝒂</m:t>
                    </m:r>
                    <m:r>
                      <a:rPr lang="en-US" sz="1200" b="1" i="1">
                        <a:solidFill>
                          <a:schemeClr val="tx1"/>
                        </a:solidFill>
                        <a:latin typeface="Cambria Math" panose="02040503050406030204" pitchFamily="18" charset="0"/>
                      </a:rPr>
                      <m:t>+</m:t>
                    </m:r>
                    <m:r>
                      <a:rPr lang="en-US" sz="1200" b="1" i="1">
                        <a:solidFill>
                          <a:schemeClr val="tx1"/>
                        </a:solidFill>
                        <a:latin typeface="Cambria Math" panose="02040503050406030204" pitchFamily="18" charset="0"/>
                      </a:rPr>
                      <m:t>𝒃</m:t>
                    </m:r>
                    <m:sSup>
                      <m:sSupPr>
                        <m:ctrlPr>
                          <a:rPr lang="en-US" sz="1200" b="1" i="1">
                            <a:solidFill>
                              <a:schemeClr val="tx1"/>
                            </a:solidFill>
                            <a:latin typeface="Cambria Math" panose="02040503050406030204" pitchFamily="18" charset="0"/>
                          </a:rPr>
                        </m:ctrlPr>
                      </m:sSupPr>
                      <m:e>
                        <m:r>
                          <a:rPr lang="en-US" sz="1200" b="1" i="1">
                            <a:solidFill>
                              <a:schemeClr val="tx1"/>
                            </a:solidFill>
                            <a:latin typeface="Cambria Math" panose="02040503050406030204" pitchFamily="18" charset="0"/>
                          </a:rPr>
                          <m:t>𝑺</m:t>
                        </m:r>
                      </m:e>
                      <m:sup>
                        <m:r>
                          <a:rPr lang="en-US" sz="1200" b="1" i="1">
                            <a:solidFill>
                              <a:schemeClr val="tx1"/>
                            </a:solidFill>
                            <a:latin typeface="Cambria Math" panose="02040503050406030204" pitchFamily="18" charset="0"/>
                          </a:rPr>
                          <m:t>𝒏</m:t>
                        </m:r>
                      </m:sup>
                    </m:sSup>
                  </m:oMath>
                </m:oMathPara>
              </a14:m>
              <a:endParaRPr lang="en-US" sz="1100" b="1">
                <a:solidFill>
                  <a:schemeClr val="tx1"/>
                </a:solidFill>
              </a:endParaRPr>
            </a:p>
          </xdr:txBody>
        </xdr:sp>
      </mc:Choice>
      <mc:Fallback xmlns="">
        <xdr:sp macro="" textlink="">
          <xdr:nvSpPr>
            <xdr:cNvPr id="2" name="TextBox 1">
              <a:extLst>
                <a:ext uri="{FF2B5EF4-FFF2-40B4-BE49-F238E27FC236}">
                  <a16:creationId xmlns:a16="http://schemas.microsoft.com/office/drawing/2014/main" id="{B9222AB3-C883-02BF-C997-5D527DCDACC5}"/>
                </a:ext>
              </a:extLst>
            </xdr:cNvPr>
            <xdr:cNvSpPr txBox="1"/>
          </xdr:nvSpPr>
          <xdr:spPr>
            <a:xfrm>
              <a:off x="1920240" y="3257550"/>
              <a:ext cx="1042035" cy="4229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US" sz="1200" b="1" i="0">
                  <a:solidFill>
                    <a:schemeClr val="tx1"/>
                  </a:solidFill>
                  <a:latin typeface="Cambria Math" panose="02040503050406030204" pitchFamily="18" charset="0"/>
                </a:rPr>
                <a:t>𝑪_𝒆=𝒂+𝒃𝑺^𝒏</a:t>
              </a:r>
              <a:endParaRPr lang="en-US" sz="1100" b="1">
                <a:solidFill>
                  <a:schemeClr val="tx1"/>
                </a:solidFill>
              </a:endParaRPr>
            </a:p>
          </xdr:txBody>
        </xdr:sp>
      </mc:Fallback>
    </mc:AlternateContent>
    <xdr:clientData/>
  </xdr:oneCellAnchor>
  <xdr:twoCellAnchor>
    <xdr:from>
      <xdr:col>4</xdr:col>
      <xdr:colOff>200025</xdr:colOff>
      <xdr:row>10</xdr:row>
      <xdr:rowOff>180974</xdr:rowOff>
    </xdr:from>
    <xdr:to>
      <xdr:col>5</xdr:col>
      <xdr:colOff>28575</xdr:colOff>
      <xdr:row>31</xdr:row>
      <xdr:rowOff>123824</xdr:rowOff>
    </xdr:to>
    <xdr:sp macro="" textlink="">
      <xdr:nvSpPr>
        <xdr:cNvPr id="3" name="TextBox 2">
          <a:extLst>
            <a:ext uri="{FF2B5EF4-FFF2-40B4-BE49-F238E27FC236}">
              <a16:creationId xmlns:a16="http://schemas.microsoft.com/office/drawing/2014/main" id="{FE4E11CD-2F47-C979-783A-DE5D6F4CD373}"/>
            </a:ext>
          </a:extLst>
        </xdr:cNvPr>
        <xdr:cNvSpPr txBox="1"/>
      </xdr:nvSpPr>
      <xdr:spPr>
        <a:xfrm>
          <a:off x="3076575" y="2124074"/>
          <a:ext cx="3048000" cy="3781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Sheet Agenda:</a:t>
          </a:r>
        </a:p>
        <a:p>
          <a:r>
            <a:rPr lang="en-US" sz="1200"/>
            <a:t>Estimating the purchase cost of the designed column.</a:t>
          </a:r>
        </a:p>
        <a:p>
          <a:endParaRPr lang="en-US" sz="1200"/>
        </a:p>
        <a:p>
          <a:r>
            <a:rPr lang="en-US" sz="1200" b="1"/>
            <a:t>Description:</a:t>
          </a:r>
        </a:p>
        <a:p>
          <a:r>
            <a:rPr lang="en-US" sz="1200"/>
            <a:t>Methode used in this estimation is fairly simple and handy, but is not an accuarate source. Cost of the shell and trays can be directly obtained from the equation and we consider the cost of other parts such as flanches, nozzles, etc. to be 30% of the shell cost. By using the Chemical Engineering Plant Cost Index (CEPCI), purchase cost for 2022 could be obtained.</a:t>
          </a:r>
        </a:p>
        <a:p>
          <a:endParaRPr lang="en-US" sz="1200"/>
        </a:p>
        <a:p>
          <a:r>
            <a:rPr lang="en-US" sz="1200" b="1"/>
            <a:t>Sheet Result:</a:t>
          </a:r>
        </a:p>
        <a:p>
          <a:r>
            <a:rPr lang="en-US" sz="1200"/>
            <a:t>Cost of the column in 2022.</a:t>
          </a: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0</xdr:row>
      <xdr:rowOff>180974</xdr:rowOff>
    </xdr:from>
    <xdr:to>
      <xdr:col>14</xdr:col>
      <xdr:colOff>114300</xdr:colOff>
      <xdr:row>62</xdr:row>
      <xdr:rowOff>90627</xdr:rowOff>
    </xdr:to>
    <xdr:pic>
      <xdr:nvPicPr>
        <xdr:cNvPr id="2" name="Picture 1">
          <a:extLst>
            <a:ext uri="{FF2B5EF4-FFF2-40B4-BE49-F238E27FC236}">
              <a16:creationId xmlns:a16="http://schemas.microsoft.com/office/drawing/2014/main" id="{81FD0CFD-0500-DF42-9CB8-503DA7DB1CF4}"/>
            </a:ext>
          </a:extLst>
        </xdr:cNvPr>
        <xdr:cNvPicPr>
          <a:picLocks noChangeAspect="1"/>
        </xdr:cNvPicPr>
      </xdr:nvPicPr>
      <xdr:blipFill>
        <a:blip xmlns:r="http://schemas.openxmlformats.org/officeDocument/2006/relationships" r:embed="rId1"/>
        <a:stretch>
          <a:fillRect/>
        </a:stretch>
      </xdr:blipFill>
      <xdr:spPr>
        <a:xfrm>
          <a:off x="609600" y="180974"/>
          <a:ext cx="8039100" cy="11130103"/>
        </a:xfrm>
        <a:prstGeom prst="rect">
          <a:avLst/>
        </a:prstGeom>
      </xdr:spPr>
    </xdr:pic>
    <xdr:clientData/>
  </xdr:twoCellAnchor>
  <xdr:twoCellAnchor>
    <xdr:from>
      <xdr:col>15</xdr:col>
      <xdr:colOff>19050</xdr:colOff>
      <xdr:row>2</xdr:row>
      <xdr:rowOff>66675</xdr:rowOff>
    </xdr:from>
    <xdr:to>
      <xdr:col>19</xdr:col>
      <xdr:colOff>9525</xdr:colOff>
      <xdr:row>7</xdr:row>
      <xdr:rowOff>123825</xdr:rowOff>
    </xdr:to>
    <xdr:sp macro="" textlink="">
      <xdr:nvSpPr>
        <xdr:cNvPr id="3" name="TextBox 2">
          <a:extLst>
            <a:ext uri="{FF2B5EF4-FFF2-40B4-BE49-F238E27FC236}">
              <a16:creationId xmlns:a16="http://schemas.microsoft.com/office/drawing/2014/main" id="{B2719454-466E-FE07-0F2E-389460270D33}"/>
            </a:ext>
          </a:extLst>
        </xdr:cNvPr>
        <xdr:cNvSpPr txBox="1"/>
      </xdr:nvSpPr>
      <xdr:spPr>
        <a:xfrm>
          <a:off x="9163050" y="428625"/>
          <a:ext cx="2428875" cy="962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DataSheet</a:t>
          </a:r>
          <a:r>
            <a:rPr lang="en-US" sz="1100" baseline="0"/>
            <a:t> file could be found in the project zip file.</a:t>
          </a:r>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286994A-DC62-4E7B-B398-9DDCB0D0739C}" name="Table4" displayName="Table4" ref="B18:H27" totalsRowShown="0" headerRowDxfId="116" dataDxfId="115">
  <tableColumns count="7">
    <tableColumn id="1" xr3:uid="{2A8ED5E5-D21B-4765-8957-6DC729BB26CF}" name="# Actual Tray" dataDxfId="114"/>
    <tableColumn id="2" xr3:uid="{05C19483-128B-4DC4-BE53-5228D75E42A8}" name="Surface Tension" dataDxfId="113"/>
    <tableColumn id="3" xr3:uid="{58897D1D-11B8-4348-9BB8-D596676A6BDE}" name="MW" dataDxfId="112"/>
    <tableColumn id="4" xr3:uid="{7CF47488-DE3D-4800-83FA-503E0105CED6}" name="Density" dataDxfId="111"/>
    <tableColumn id="5" xr3:uid="{C4D3F6AF-05DD-48C4-BF3D-A1EB2F89C311}" name="Viscosity" dataDxfId="110"/>
    <tableColumn id="6" xr3:uid="{0ABD0460-2AB9-4439-88C2-94CFC524E26E}" name="Thermal Cond." dataDxfId="109"/>
    <tableColumn id="7" xr3:uid="{E4A0C33F-F573-46FB-AC7D-7D890891CD55}" name="Enthalpy" dataDxfId="108"/>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EBA7133-F11C-46F7-B9AC-F0AE48C3D4F9}" name="Table12" displayName="Table12" ref="B52:C57" totalsRowShown="0" headerRowDxfId="31">
  <tableColumns count="2">
    <tableColumn id="1" xr3:uid="{09761427-E6B5-4035-A0DE-E9B2BA79F375}" name="Part" dataDxfId="30"/>
    <tableColumn id="2" xr3:uid="{EEA3130C-5457-41BB-9845-DCBEA86F33E4}" name="Weight (kg)" dataDxfId="29"/>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2E9039F8-47EF-4858-B677-381FE394210C}" name="Table13" displayName="Table13" ref="B3:E9" totalsRowShown="0" headerRowDxfId="28" dataDxfId="27">
  <tableColumns count="4">
    <tableColumn id="1" xr3:uid="{27070626-69AC-4509-A67C-98353B65D66A}" name="Parameter" dataDxfId="26"/>
    <tableColumn id="2" xr3:uid="{26D1839A-AB8C-4059-B6A3-08E7ABB53E73}" name="Value" dataDxfId="25"/>
    <tableColumn id="3" xr3:uid="{BB4B06DA-0E88-4BD9-A8B4-793EBEB4F105}" name="Unit" dataDxfId="24"/>
    <tableColumn id="4" xr3:uid="{B85BE36F-25B1-4E77-A21D-447B2406A96D}" name="Description" dataDxfId="2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59F9638B-973F-4A53-A15E-B0F814E19AC7}" name="Table14" displayName="Table14" ref="B13:D15" totalsRowShown="0" headerRowDxfId="22">
  <tableColumns count="3">
    <tableColumn id="1" xr3:uid="{4B172637-CF0F-4DE7-9A0E-3669F9FA1BBF}" name="Year" dataDxfId="21"/>
    <tableColumn id="2" xr3:uid="{BF6E8FFE-1350-46B0-B440-3F4C2D873E02}" name="Index" dataDxfId="20"/>
    <tableColumn id="3" xr3:uid="{ADCF5A00-07DA-4786-8ACD-2419F5134CD0}" name="Cost" dataDxfId="19" dataCellStyle="Currency">
      <calculatedColumnFormula>D13*C14/C13</calculatedColumnFormula>
    </tableColumn>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5F5D0AF-5743-425E-B869-822A568C150D}" name="Table104" displayName="Table104" ref="B29:E41" totalsRowShown="0" headerRowDxfId="7" dataDxfId="6">
  <tableColumns count="4">
    <tableColumn id="1" xr3:uid="{BED11E06-C632-4D30-B351-286DF649C24E}" name="Parameter" dataDxfId="11"/>
    <tableColumn id="2" xr3:uid="{F41E1C98-6701-43F3-BBD0-8E86AFE5C9D9}" name="Value" dataDxfId="10"/>
    <tableColumn id="3" xr3:uid="{ACDFEF9D-2E6F-4BD5-A8A8-EEDC6AE4711E}" name="Unit" dataDxfId="9"/>
    <tableColumn id="4" xr3:uid="{8BE4EC30-2720-4966-9108-8DDDC34CF392}" name="Description" dataDxfId="8"/>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B962645D-3BB5-4251-A1B6-ABF295AAB83B}" name="Table9" displayName="Table9" ref="B3:E25" totalsRowShown="0" headerRowDxfId="5" dataDxfId="4">
  <tableColumns count="4">
    <tableColumn id="1" xr3:uid="{3693639C-B3E3-4CAB-A57F-6971DBF7EF69}" name="Parameters" dataDxfId="3"/>
    <tableColumn id="2" xr3:uid="{266095D7-7E2F-4B24-A624-F7546B6B34E7}" name="Value" dataDxfId="2"/>
    <tableColumn id="3" xr3:uid="{55CD377D-9337-4CE0-A998-C5706409AE89}" name="Unit" dataDxfId="1"/>
    <tableColumn id="4" xr3:uid="{A1C00C41-AD38-44BA-8CC6-3B613F647B74}" name="Description"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ACDC8D6-F9AF-4CAF-9B73-A08B55A26F72}" name="Table5" displayName="Table5" ref="B6:J14" totalsRowShown="0" headerRowDxfId="107" dataDxfId="106">
  <tableColumns count="9">
    <tableColumn id="1" xr3:uid="{B8C2B835-66FA-449A-A008-B3FD393096E1}" name="__" dataDxfId="105"/>
    <tableColumn id="2" xr3:uid="{7E740ADC-B99B-4D5B-8FE3-75EC2D52932C}" name="C" dataDxfId="104"/>
    <tableColumn id="3" xr3:uid="{526058E2-D439-4ADA-9C85-EB77DAD08C70}" name="kPa" dataDxfId="103"/>
    <tableColumn id="4" xr3:uid="{B3548BD2-DDFB-46F4-8C47-D28948A71798}" name="kgmole/hr" dataDxfId="102"/>
    <tableColumn id="5" xr3:uid="{46287C3D-E990-4FBE-AD51-C518D5DE9302}" name="_" dataDxfId="101"/>
    <tableColumn id="6" xr3:uid="{411EB473-A9B9-43B6-A087-81583B14F5CF}" name="kgmole /hr" dataDxfId="100"/>
    <tableColumn id="7" xr3:uid="{7A74D973-3363-4B2C-A656-CF877C3A6AE0}" name="mole%" dataDxfId="99"/>
    <tableColumn id="8" xr3:uid="{5F2435F7-F4AF-4B7E-95C0-28702EB5F487}" name="kgmole/ hr" dataDxfId="98"/>
    <tableColumn id="9" xr3:uid="{FACC1300-70D2-4650-ABB4-8AA0C7F690D5}" name="kgmole / hr" dataDxfId="9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BE7C81A-9DC7-4E3E-AB52-A8C70FEA57BA}" name="Table48" displayName="Table48" ref="J18:O27" totalsRowShown="0" headerRowDxfId="96" dataDxfId="95">
  <tableColumns count="6">
    <tableColumn id="1" xr3:uid="{3FE9BB07-4A76-4D75-B188-5150ACE2647B}" name="# Actual Tray" dataDxfId="94"/>
    <tableColumn id="2" xr3:uid="{43D5A23A-6620-490A-ACF9-4234C5E0CC53}" name="MW" dataDxfId="93"/>
    <tableColumn id="3" xr3:uid="{69F7C7BC-92B0-447B-82DA-F8B33D45585C}" name="Density" dataDxfId="92"/>
    <tableColumn id="4" xr3:uid="{DCE35AA6-7D2D-4C7A-AF5F-E422CC24B595}" name="Viscosity" dataDxfId="91"/>
    <tableColumn id="5" xr3:uid="{74AF016B-061C-4B9D-8E53-6D04D987E54B}" name="Thermal Cond." dataDxfId="90"/>
    <tableColumn id="6" xr3:uid="{772D14B8-2767-488A-8695-3766324CD9A8}" name="Enthalpy" dataDxfId="8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F5A889C-E501-4971-90F4-B438B703DDEC}" name="Table8" displayName="Table8" ref="M4:P14" totalsRowShown="0" headerRowDxfId="88" dataDxfId="87">
  <tableColumns count="4">
    <tableColumn id="1" xr3:uid="{5B8CF890-3073-41BD-A944-D8DACA81330B}" name="Parameter" dataDxfId="86"/>
    <tableColumn id="2" xr3:uid="{D86C7D20-91E8-42F7-9DFB-2EB197EF2AC9}" name="Value" dataDxfId="85"/>
    <tableColumn id="3" xr3:uid="{3678DE7F-F189-4471-9508-C335953121FE}" name="Unit" dataDxfId="84"/>
    <tableColumn id="4" xr3:uid="{FB59F639-DC3F-4C7F-A8C0-B3761363EE9D}" name="Description" dataDxfId="83"/>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36F634B-35D7-4881-BFB1-3F092C26EFF5}" name="Table2" displayName="Table2" ref="B3:S11" totalsRowShown="0" headerRowDxfId="82" dataDxfId="81" tableBorderDxfId="80">
  <tableColumns count="18">
    <tableColumn id="1" xr3:uid="{3914E0C4-EF7A-4ACD-A2BD-C8ED21067807}" name="Tray no." dataDxfId="79"/>
    <tableColumn id="2" xr3:uid="{D1093075-CB23-49C4-90DA-51D1B045E63F}" name="WL" dataDxfId="78">
      <calculatedColumnFormula>Properties!E6</calculatedColumnFormula>
    </tableColumn>
    <tableColumn id="3" xr3:uid="{E722DE8D-C8A1-42CD-81EF-9C5CF062A230}" name="Wv" dataDxfId="77">
      <calculatedColumnFormula>Properties!G6</calculatedColumnFormula>
    </tableColumn>
    <tableColumn id="4" xr3:uid="{984E3D7D-C272-4416-AB25-B9726FA3B807}" name="ρL" dataDxfId="76">
      <calculatedColumnFormula>Properties!E19</calculatedColumnFormula>
    </tableColumn>
    <tableColumn id="5" xr3:uid="{FAFD31F4-BCF4-4FC7-BA23-3484F9B93916}" name="ρV" dataDxfId="75">
      <calculatedColumnFormula>Properties!L19</calculatedColumnFormula>
    </tableColumn>
    <tableColumn id="6" xr3:uid="{4C8FB8C7-1D1B-4602-8D08-089BE99D59DB}" name="Flv" dataDxfId="74">
      <calculatedColumnFormula>C4/D4*(SQRT(F4/E4))</calculatedColumnFormula>
    </tableColumn>
    <tableColumn id="7" xr3:uid="{F11CC632-34FC-4089-AF09-B64AAD5044F7}" name="σ" dataDxfId="73">
      <calculatedColumnFormula>Properties!C19</calculatedColumnFormula>
    </tableColumn>
    <tableColumn id="8" xr3:uid="{2B660797-5072-42FA-B737-8B8C62AB046B}" name="Csb" dataDxfId="72">
      <calculatedColumnFormula>10^(-1.0262-0.63513*LOG10(G4)-0.20097*(LOG10(G4))^2)</calculatedColumnFormula>
    </tableColumn>
    <tableColumn id="9" xr3:uid="{592BBDB2-D8BD-4772-A1D6-C3E6C45754B0}" name="K1" dataDxfId="71">
      <calculatedColumnFormula>I4*(H4/20)^0.2</calculatedColumnFormula>
    </tableColumn>
    <tableColumn id="10" xr3:uid="{C560BF5E-D8BD-4B19-84FE-9EF17BAFB075}" name="Uf" dataDxfId="70">
      <calculatedColumnFormula>J4*SQRT((E4-F4)/F4)</calculatedColumnFormula>
    </tableColumn>
    <tableColumn id="11" xr3:uid="{8247F8E6-BD88-44E2-9D0C-CC96D476B8F1}" name="Un" dataDxfId="69">
      <calculatedColumnFormula>0.75*K4</calculatedColumnFormula>
    </tableColumn>
    <tableColumn id="12" xr3:uid="{4CCB382F-1CEC-4F4B-B4FB-7BA0CCAAE56A}" name="MW" dataDxfId="68">
      <calculatedColumnFormula>Properties!D19*Properties!F6+(1-Properties!F6)*Properties!K19</calculatedColumnFormula>
    </tableColumn>
    <tableColumn id="18" xr3:uid="{B7B81F68-290A-4FF0-B9C9-84022AD5865D}" name="L" dataDxfId="67"/>
    <tableColumn id="13" xr3:uid="{AA4381EE-0C77-4B49-BA2C-9C1967CB9C3B}" name="V" dataDxfId="66">
      <calculatedColumnFormula>D4*M4/(3600*F4)</calculatedColumnFormula>
    </tableColumn>
    <tableColumn id="14" xr3:uid="{C61AC673-A333-4B36-A45C-33C0F06F64DC}" name="Anet" dataDxfId="65">
      <calculatedColumnFormula>O4/L4</calculatedColumnFormula>
    </tableColumn>
    <tableColumn id="15" xr3:uid="{7AA8E243-F592-4924-8303-7E2552A555C7}" name="A cross section" dataDxfId="64">
      <calculatedColumnFormula>P4/0.88</calculatedColumnFormula>
    </tableColumn>
    <tableColumn id="16" xr3:uid="{0AB231BC-6216-4593-88AC-1662D564A758}" name="D column" dataDxfId="63">
      <calculatedColumnFormula>SQRT(Q4*4/PI())</calculatedColumnFormula>
    </tableColumn>
    <tableColumn id="17" xr3:uid="{A2DABDB9-A2D4-4938-8163-59E5ACC92BB7}" name="Dcolumn" dataDxfId="62">
      <calculatedColumnFormula>R4*39.3701</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E2ED8C8-2015-425C-82F5-89885AAE3564}" name="Table1" displayName="Table1" ref="B4:I9" totalsRowShown="0" headerRowDxfId="61" dataDxfId="60">
  <tableColumns count="8">
    <tableColumn id="1" xr3:uid="{9F432342-FA79-4C91-9925-648A9C90BCDF}" name="D column" dataDxfId="59"/>
    <tableColumn id="2" xr3:uid="{A7F1E744-0207-4EE5-9E0E-9C18B5E2B791}" name="A column" dataDxfId="58">
      <calculatedColumnFormula>(B5^2)*PI()/4</calculatedColumnFormula>
    </tableColumn>
    <tableColumn id="3" xr3:uid="{A959375C-32E2-491D-BD4B-0E5A73452626}" name="A downcomer" dataDxfId="57">
      <calculatedColumnFormula>0.1*C5</calculatedColumnFormula>
    </tableColumn>
    <tableColumn id="4" xr3:uid="{A21DE62A-6CA5-4486-B83B-8DFE83B99349}" name="L weir" dataDxfId="56">
      <calculatedColumnFormula>B5*0.727</calculatedColumnFormula>
    </tableColumn>
    <tableColumn id="5" xr3:uid="{CDCA7D8C-9F43-4B2D-97B8-BB277C8617F6}" name="A  downcomer" dataDxfId="55">
      <calculatedColumnFormula>0.12*C5</calculatedColumnFormula>
    </tableColumn>
    <tableColumn id="6" xr3:uid="{8B9F0C50-7761-4C22-8A89-C14DB33A5006}" name="L  weir" dataDxfId="54">
      <calculatedColumnFormula>0.762*B5</calculatedColumnFormula>
    </tableColumn>
    <tableColumn id="7" xr3:uid="{1A16AF32-327A-414E-A488-EF58A6E57F2E}" name="Adowncomer" dataDxfId="53">
      <calculatedColumnFormula>0.14*C5</calculatedColumnFormula>
    </tableColumn>
    <tableColumn id="8" xr3:uid="{BBCB0696-7C14-4D34-8466-3CAAD8D53B9E}" name="Lweir" dataDxfId="52">
      <calculatedColumnFormula>0.784*B5</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D83034C-927F-4AF0-A377-24595F17753E}" name="Table6" displayName="Table6" ref="B3:E10" totalsRowShown="0" headerRowDxfId="51" dataDxfId="49" headerRowBorderDxfId="50" tableBorderDxfId="48">
  <tableColumns count="4">
    <tableColumn id="1" xr3:uid="{59B16706-C237-4269-AD05-45C985204D40}" name="Parameter" dataDxfId="47"/>
    <tableColumn id="2" xr3:uid="{906E6C99-B8F9-45B1-81C8-C3DA686A6125}" name="Value" dataDxfId="46"/>
    <tableColumn id="3" xr3:uid="{7A7E937D-3675-413D-9C19-07612ABED271}" name="Unit" dataDxfId="45"/>
    <tableColumn id="4" xr3:uid="{D30A5D5D-36FD-4791-8C55-326E935E32DA}" name="Description" dataDxfId="44"/>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5EF1037-B0A8-413F-87C1-FCC30B10068C}" name="Table10" displayName="Table10" ref="B15:E27" totalsRowShown="0" headerRowDxfId="43" dataDxfId="42">
  <tableColumns count="4">
    <tableColumn id="1" xr3:uid="{BC9297F1-E9FF-43C7-AC8B-AD62AF529439}" name="Parameter" dataDxfId="41"/>
    <tableColumn id="2" xr3:uid="{9B8E86C9-7D76-49E6-933E-EAEE91AFBB3C}" name="Value" dataDxfId="40"/>
    <tableColumn id="3" xr3:uid="{D222AF85-8385-4DCA-93E0-4393C09A2C89}" name="Unit" dataDxfId="39"/>
    <tableColumn id="4" xr3:uid="{F70EDABA-C5AA-459D-A035-493E264188CF}" name="Description" dataDxfId="3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407EEB29-37C7-4066-B912-27EB25725471}" name="Table11" displayName="Table11" ref="B31:E48" totalsRowShown="0" headerRowDxfId="37" dataDxfId="36">
  <tableColumns count="4">
    <tableColumn id="1" xr3:uid="{5AAAEB1E-E9C1-4171-94D9-7E8B83136F69}" name="Parameter" dataDxfId="35"/>
    <tableColumn id="2" xr3:uid="{A32B85A5-04DB-40E8-A32D-FC3B80F3318B}" name="Value" dataDxfId="34"/>
    <tableColumn id="3" xr3:uid="{FE70656D-736E-421F-AC74-9AC0198E2ED7}" name="Unit" dataDxfId="33"/>
    <tableColumn id="4" xr3:uid="{2C3B897E-7B13-4A17-96D4-5CDC53659409}" name="Description" dataDxfId="3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0.xml"/><Relationship Id="rId1" Type="http://schemas.openxmlformats.org/officeDocument/2006/relationships/printerSettings" Target="../printerSettings/printerSettings6.bin"/><Relationship Id="rId6" Type="http://schemas.openxmlformats.org/officeDocument/2006/relationships/comments" Target="../comments8.xml"/><Relationship Id="rId5" Type="http://schemas.openxmlformats.org/officeDocument/2006/relationships/table" Target="../tables/table14.xml"/><Relationship Id="rId4" Type="http://schemas.openxmlformats.org/officeDocument/2006/relationships/table" Target="../tables/table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2.bin"/><Relationship Id="rId5" Type="http://schemas.openxmlformats.org/officeDocument/2006/relationships/comments" Target="../comments2.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3.bin"/><Relationship Id="rId5" Type="http://schemas.openxmlformats.org/officeDocument/2006/relationships/comments" Target="../comments3.xml"/><Relationship Id="rId4" Type="http://schemas.openxmlformats.org/officeDocument/2006/relationships/table" Target="../tables/table6.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8" Type="http://schemas.openxmlformats.org/officeDocument/2006/relationships/comments" Target="../comments6.xml"/><Relationship Id="rId3" Type="http://schemas.openxmlformats.org/officeDocument/2006/relationships/vmlDrawing" Target="../drawings/vmlDrawing6.vml"/><Relationship Id="rId7" Type="http://schemas.openxmlformats.org/officeDocument/2006/relationships/table" Target="../tables/table10.xml"/><Relationship Id="rId2" Type="http://schemas.openxmlformats.org/officeDocument/2006/relationships/drawing" Target="../drawings/drawing7.xml"/><Relationship Id="rId1" Type="http://schemas.openxmlformats.org/officeDocument/2006/relationships/printerSettings" Target="../printerSettings/printerSettings5.bin"/><Relationship Id="rId6" Type="http://schemas.openxmlformats.org/officeDocument/2006/relationships/table" Target="../tables/table9.xml"/><Relationship Id="rId5" Type="http://schemas.openxmlformats.org/officeDocument/2006/relationships/table" Target="../tables/table8.xml"/><Relationship Id="rId4" Type="http://schemas.openxmlformats.org/officeDocument/2006/relationships/table" Target="../tables/table7.xml"/></Relationships>
</file>

<file path=xl/worksheets/_rels/sheet9.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vmlDrawing" Target="../drawings/vmlDrawing7.vml"/><Relationship Id="rId1" Type="http://schemas.openxmlformats.org/officeDocument/2006/relationships/drawing" Target="../drawings/drawing8.xml"/><Relationship Id="rId5" Type="http://schemas.openxmlformats.org/officeDocument/2006/relationships/comments" Target="../comments7.xml"/><Relationship Id="rId4" Type="http://schemas.openxmlformats.org/officeDocument/2006/relationships/table" Target="../tables/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B37E1-0F84-4CB8-B876-EC46646B7FA9}">
  <dimension ref="A1"/>
  <sheetViews>
    <sheetView tabSelected="1" zoomScale="60" zoomScaleNormal="60" workbookViewId="0"/>
  </sheetViews>
  <sheetFormatPr defaultRowHeight="14.4" x14ac:dyDescent="0.3"/>
  <cols>
    <col min="1" max="16384" width="8.88671875" style="210"/>
  </cols>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3797BB-3A20-49DD-849F-DD8837A03C89}">
  <dimension ref="A2"/>
  <sheetViews>
    <sheetView zoomScale="80" zoomScaleNormal="80" workbookViewId="0"/>
  </sheetViews>
  <sheetFormatPr defaultRowHeight="14.4" x14ac:dyDescent="0.3"/>
  <cols>
    <col min="1" max="1" width="8.88671875" style="210"/>
    <col min="2" max="2" width="8.88671875" style="210" customWidth="1"/>
    <col min="3" max="16384" width="8.88671875" style="210"/>
  </cols>
  <sheetData>
    <row r="2" s="210" customFormat="1" ht="14.4" customHeight="1" x14ac:dyDescent="0.3"/>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2C9F1-CD66-4AC5-BCBB-F2E2155ABFE9}">
  <dimension ref="B2:E41"/>
  <sheetViews>
    <sheetView zoomScale="80" zoomScaleNormal="80" workbookViewId="0"/>
  </sheetViews>
  <sheetFormatPr defaultRowHeight="14.4" x14ac:dyDescent="0.3"/>
  <cols>
    <col min="1" max="1" width="8.88671875" style="215"/>
    <col min="2" max="2" width="21.44140625" style="215" customWidth="1"/>
    <col min="3" max="3" width="14.21875" style="215" customWidth="1"/>
    <col min="4" max="4" width="10" style="215" customWidth="1"/>
    <col min="5" max="5" width="52.6640625" style="215" customWidth="1"/>
    <col min="6" max="16384" width="8.88671875" style="215"/>
  </cols>
  <sheetData>
    <row r="2" spans="2:5" ht="15.6" x14ac:dyDescent="0.3">
      <c r="B2" s="216" t="s">
        <v>361</v>
      </c>
      <c r="C2" s="217"/>
      <c r="D2" s="217"/>
      <c r="E2" s="218"/>
    </row>
    <row r="3" spans="2:5" x14ac:dyDescent="0.3">
      <c r="B3" s="199" t="s">
        <v>328</v>
      </c>
      <c r="C3" s="200" t="s">
        <v>30</v>
      </c>
      <c r="D3" s="200" t="s">
        <v>31</v>
      </c>
      <c r="E3" s="201" t="s">
        <v>32</v>
      </c>
    </row>
    <row r="4" spans="2:5" x14ac:dyDescent="0.3">
      <c r="B4" s="38" t="s">
        <v>329</v>
      </c>
      <c r="C4" s="2">
        <f>'Plate Layout'!D6</f>
        <v>0.60960000000000003</v>
      </c>
      <c r="D4" s="2" t="s">
        <v>66</v>
      </c>
      <c r="E4" s="39" t="s">
        <v>353</v>
      </c>
    </row>
    <row r="5" spans="2:5" ht="15.6" x14ac:dyDescent="0.3">
      <c r="B5" s="38" t="s">
        <v>330</v>
      </c>
      <c r="C5" s="2">
        <f>Weight!C34/1000</f>
        <v>5.59</v>
      </c>
      <c r="D5" s="2" t="s">
        <v>66</v>
      </c>
      <c r="E5" s="39" t="s">
        <v>356</v>
      </c>
    </row>
    <row r="6" spans="2:5" ht="15.6" x14ac:dyDescent="0.3">
      <c r="B6" s="38" t="s">
        <v>65</v>
      </c>
      <c r="C6" s="2">
        <f>Weight!C4/1000</f>
        <v>0.91439999999999999</v>
      </c>
      <c r="D6" s="2" t="s">
        <v>66</v>
      </c>
      <c r="E6" s="39" t="s">
        <v>357</v>
      </c>
    </row>
    <row r="7" spans="2:5" ht="15.6" x14ac:dyDescent="0.3">
      <c r="B7" s="38" t="s">
        <v>334</v>
      </c>
      <c r="C7" s="19">
        <f>Weight!C9</f>
        <v>1.6984508984981626</v>
      </c>
      <c r="D7" s="2" t="s">
        <v>131</v>
      </c>
      <c r="E7" s="39" t="s">
        <v>358</v>
      </c>
    </row>
    <row r="8" spans="2:5" ht="15.6" x14ac:dyDescent="0.3">
      <c r="B8" s="38" t="s">
        <v>354</v>
      </c>
      <c r="C8" s="19">
        <f>Weight!C10</f>
        <v>1.6984078383343539</v>
      </c>
      <c r="D8" s="2" t="s">
        <v>131</v>
      </c>
      <c r="E8" s="39" t="s">
        <v>359</v>
      </c>
    </row>
    <row r="9" spans="2:5" ht="15.6" x14ac:dyDescent="0.3">
      <c r="B9" s="38" t="s">
        <v>339</v>
      </c>
      <c r="C9" s="170">
        <f>Weight!C32</f>
        <v>3</v>
      </c>
      <c r="D9" s="2" t="s">
        <v>131</v>
      </c>
      <c r="E9" s="39" t="s">
        <v>360</v>
      </c>
    </row>
    <row r="10" spans="2:5" ht="15.6" x14ac:dyDescent="0.3">
      <c r="B10" s="38" t="s">
        <v>252</v>
      </c>
      <c r="C10" s="2">
        <f>Weight!C39</f>
        <v>5</v>
      </c>
      <c r="D10" s="2" t="s">
        <v>131</v>
      </c>
      <c r="E10" s="39" t="s">
        <v>346</v>
      </c>
    </row>
    <row r="11" spans="2:5" x14ac:dyDescent="0.3">
      <c r="B11" s="38" t="s">
        <v>347</v>
      </c>
      <c r="C11" s="2" t="s">
        <v>348</v>
      </c>
      <c r="D11" s="2"/>
      <c r="E11" s="39"/>
    </row>
    <row r="12" spans="2:5" x14ac:dyDescent="0.3">
      <c r="B12" s="38" t="s">
        <v>331</v>
      </c>
      <c r="C12" s="2" t="s">
        <v>355</v>
      </c>
      <c r="D12" s="2"/>
      <c r="E12" s="39"/>
    </row>
    <row r="13" spans="2:5" x14ac:dyDescent="0.3">
      <c r="B13" s="38" t="s">
        <v>332</v>
      </c>
      <c r="C13" s="170">
        <f>'Plate Design Part I'!L2</f>
        <v>2.8571428571428572</v>
      </c>
      <c r="D13" s="2"/>
      <c r="E13" s="39"/>
    </row>
    <row r="14" spans="2:5" x14ac:dyDescent="0.3">
      <c r="B14" s="38" t="s">
        <v>333</v>
      </c>
      <c r="C14" s="2">
        <f>Properties!N12</f>
        <v>4.5</v>
      </c>
      <c r="D14" s="2"/>
      <c r="E14" s="39"/>
    </row>
    <row r="15" spans="2:5" ht="15.6" x14ac:dyDescent="0.3">
      <c r="B15" s="38" t="s">
        <v>335</v>
      </c>
      <c r="C15" s="2">
        <f>Weight!C5</f>
        <v>0.45</v>
      </c>
      <c r="D15" s="2" t="s">
        <v>205</v>
      </c>
      <c r="E15" s="39" t="s">
        <v>338</v>
      </c>
    </row>
    <row r="16" spans="2:5" x14ac:dyDescent="0.3">
      <c r="B16" s="38" t="s">
        <v>206</v>
      </c>
      <c r="C16" s="2">
        <f>Weight!C6</f>
        <v>1220</v>
      </c>
      <c r="D16" s="2" t="s">
        <v>207</v>
      </c>
      <c r="E16" s="39" t="s">
        <v>336</v>
      </c>
    </row>
    <row r="17" spans="2:5" x14ac:dyDescent="0.3">
      <c r="B17" s="38" t="s">
        <v>208</v>
      </c>
      <c r="C17" s="2">
        <f>Weight!C7</f>
        <v>0.85</v>
      </c>
      <c r="D17" s="2"/>
      <c r="E17" s="39" t="s">
        <v>337</v>
      </c>
    </row>
    <row r="18" spans="2:5" ht="15.6" x14ac:dyDescent="0.3">
      <c r="B18" s="38" t="s">
        <v>126</v>
      </c>
      <c r="C18" s="2">
        <f>'Plate Layout'!M6*1000</f>
        <v>12.7</v>
      </c>
      <c r="D18" s="2" t="s">
        <v>131</v>
      </c>
      <c r="E18" s="39"/>
    </row>
    <row r="19" spans="2:5" x14ac:dyDescent="0.3">
      <c r="B19" s="38" t="s">
        <v>340</v>
      </c>
      <c r="C19" s="2">
        <f>'Plate Layout'!C25*25.4</f>
        <v>28.574999999999999</v>
      </c>
      <c r="D19" s="2" t="s">
        <v>131</v>
      </c>
      <c r="E19" s="39"/>
    </row>
    <row r="20" spans="2:5" ht="15.6" x14ac:dyDescent="0.3">
      <c r="B20" s="38" t="s">
        <v>342</v>
      </c>
      <c r="C20" s="27">
        <f>'Plate Layout'!C24</f>
        <v>485.22239999999999</v>
      </c>
      <c r="D20" s="2"/>
      <c r="E20" s="39" t="s">
        <v>343</v>
      </c>
    </row>
    <row r="21" spans="2:5" ht="16.2" x14ac:dyDescent="0.3">
      <c r="B21" s="38" t="s">
        <v>345</v>
      </c>
      <c r="C21" s="213">
        <f>'Plate Layout'!K6</f>
        <v>0.47281888289545704</v>
      </c>
      <c r="D21" s="2" t="s">
        <v>104</v>
      </c>
      <c r="E21" s="39" t="s">
        <v>344</v>
      </c>
    </row>
    <row r="22" spans="2:5" x14ac:dyDescent="0.3">
      <c r="B22" s="344" t="s">
        <v>349</v>
      </c>
      <c r="C22" s="213">
        <f>'Plate Design Part II'!K30</f>
        <v>2.6342600592897885</v>
      </c>
      <c r="D22" s="2" t="s">
        <v>16</v>
      </c>
      <c r="E22" s="39"/>
    </row>
    <row r="23" spans="2:5" x14ac:dyDescent="0.3">
      <c r="B23" s="344" t="s">
        <v>350</v>
      </c>
      <c r="C23" s="213">
        <f>'Plate Design Part II'!K36</f>
        <v>3.0337124638695285</v>
      </c>
      <c r="D23" s="2" t="s">
        <v>16</v>
      </c>
      <c r="E23" s="39"/>
    </row>
    <row r="24" spans="2:5" x14ac:dyDescent="0.3">
      <c r="B24" s="344" t="s">
        <v>351</v>
      </c>
      <c r="C24" s="213">
        <f>'Plate Design Part II'!K42</f>
        <v>3.0581093298892661</v>
      </c>
      <c r="D24" s="2" t="s">
        <v>16</v>
      </c>
      <c r="E24" s="39"/>
    </row>
    <row r="25" spans="2:5" ht="15.6" x14ac:dyDescent="0.3">
      <c r="B25" s="345" t="s">
        <v>352</v>
      </c>
      <c r="C25" s="171">
        <f>'Plate Layout'!G6</f>
        <v>50.8</v>
      </c>
      <c r="D25" s="171" t="s">
        <v>131</v>
      </c>
      <c r="E25" s="173"/>
    </row>
    <row r="28" spans="2:5" ht="15.6" x14ac:dyDescent="0.3">
      <c r="B28" s="328" t="s">
        <v>362</v>
      </c>
      <c r="C28" s="329"/>
      <c r="D28" s="329"/>
      <c r="E28" s="329"/>
    </row>
    <row r="29" spans="2:5" x14ac:dyDescent="0.3">
      <c r="B29" s="211" t="s">
        <v>0</v>
      </c>
      <c r="C29" s="212" t="s">
        <v>30</v>
      </c>
      <c r="D29" s="212" t="s">
        <v>31</v>
      </c>
      <c r="E29" s="212" t="s">
        <v>32</v>
      </c>
    </row>
    <row r="30" spans="2:5" x14ac:dyDescent="0.3">
      <c r="B30" s="177" t="s">
        <v>220</v>
      </c>
      <c r="C30" s="178">
        <v>150</v>
      </c>
      <c r="D30" s="178" t="s">
        <v>54</v>
      </c>
      <c r="E30" s="179" t="s">
        <v>222</v>
      </c>
    </row>
    <row r="31" spans="2:5" ht="16.2" x14ac:dyDescent="0.3">
      <c r="B31" s="38" t="s">
        <v>89</v>
      </c>
      <c r="C31" s="2">
        <f>C30*'Diameter Calc.'!M22/'Diameter Calc.'!E22/3600</f>
        <v>0</v>
      </c>
      <c r="D31" s="2" t="s">
        <v>314</v>
      </c>
      <c r="E31" s="39" t="s">
        <v>223</v>
      </c>
    </row>
    <row r="32" spans="2:5" ht="15.6" x14ac:dyDescent="0.3">
      <c r="B32" s="168" t="s">
        <v>221</v>
      </c>
      <c r="C32" s="181">
        <v>0.1</v>
      </c>
      <c r="D32" s="169" t="s">
        <v>66</v>
      </c>
      <c r="E32" s="174" t="s">
        <v>240</v>
      </c>
    </row>
    <row r="33" spans="2:5" ht="15.6" x14ac:dyDescent="0.3">
      <c r="B33" s="38" t="s">
        <v>226</v>
      </c>
      <c r="C33" s="182">
        <f>C31/((C32^2)/4*PI())</f>
        <v>0</v>
      </c>
      <c r="D33" s="2" t="s">
        <v>61</v>
      </c>
      <c r="E33" s="39" t="s">
        <v>241</v>
      </c>
    </row>
    <row r="34" spans="2:5" ht="15.6" x14ac:dyDescent="0.3">
      <c r="B34" s="48" t="s">
        <v>225</v>
      </c>
      <c r="C34" s="180">
        <v>300.3</v>
      </c>
      <c r="D34" s="180" t="s">
        <v>54</v>
      </c>
      <c r="E34" s="49" t="s">
        <v>234</v>
      </c>
    </row>
    <row r="35" spans="2:5" ht="16.2" x14ac:dyDescent="0.3">
      <c r="B35" s="38" t="s">
        <v>227</v>
      </c>
      <c r="C35" s="2">
        <f>C34*'Diameter Calc.'!M19/'Diameter Calc.'!F19/3600</f>
        <v>0</v>
      </c>
      <c r="D35" s="2" t="s">
        <v>314</v>
      </c>
      <c r="E35" s="39" t="s">
        <v>236</v>
      </c>
    </row>
    <row r="36" spans="2:5" ht="15.6" x14ac:dyDescent="0.3">
      <c r="B36" s="38" t="s">
        <v>228</v>
      </c>
      <c r="C36" s="181">
        <v>0.5</v>
      </c>
      <c r="D36" s="2" t="s">
        <v>66</v>
      </c>
      <c r="E36" s="39" t="s">
        <v>238</v>
      </c>
    </row>
    <row r="37" spans="2:5" ht="15.6" x14ac:dyDescent="0.3">
      <c r="B37" s="40" t="s">
        <v>229</v>
      </c>
      <c r="C37" s="182">
        <f>C35/((C36^2)*PI()/4)</f>
        <v>0</v>
      </c>
      <c r="D37" s="171" t="s">
        <v>61</v>
      </c>
      <c r="E37" s="173" t="s">
        <v>242</v>
      </c>
    </row>
    <row r="38" spans="2:5" ht="15.6" x14ac:dyDescent="0.3">
      <c r="B38" s="48" t="s">
        <v>230</v>
      </c>
      <c r="C38" s="180">
        <v>382.5</v>
      </c>
      <c r="D38" s="180" t="s">
        <v>54</v>
      </c>
      <c r="E38" s="49" t="s">
        <v>235</v>
      </c>
    </row>
    <row r="39" spans="2:5" ht="16.2" x14ac:dyDescent="0.3">
      <c r="B39" s="38" t="s">
        <v>231</v>
      </c>
      <c r="C39" s="2">
        <f>C38*'Diameter Calc.'!M25/'Diameter Calc.'!E25/3600</f>
        <v>0</v>
      </c>
      <c r="D39" s="2" t="s">
        <v>314</v>
      </c>
      <c r="E39" s="39" t="s">
        <v>237</v>
      </c>
    </row>
    <row r="40" spans="2:5" ht="15.6" x14ac:dyDescent="0.3">
      <c r="B40" s="38" t="s">
        <v>232</v>
      </c>
      <c r="C40" s="181">
        <v>0.1</v>
      </c>
      <c r="D40" s="2" t="s">
        <v>66</v>
      </c>
      <c r="E40" s="39" t="s">
        <v>239</v>
      </c>
    </row>
    <row r="41" spans="2:5" ht="15.6" x14ac:dyDescent="0.3">
      <c r="B41" s="40" t="s">
        <v>233</v>
      </c>
      <c r="C41" s="182">
        <f>C39/((C40^2)/4*PI())</f>
        <v>0</v>
      </c>
      <c r="D41" s="171" t="s">
        <v>61</v>
      </c>
      <c r="E41" s="173" t="s">
        <v>243</v>
      </c>
    </row>
  </sheetData>
  <mergeCells count="2">
    <mergeCell ref="B2:E2"/>
    <mergeCell ref="B28:E28"/>
  </mergeCells>
  <pageMargins left="0.7" right="0.7" top="0.75" bottom="0.75" header="0.3" footer="0.3"/>
  <pageSetup orientation="portrait" r:id="rId1"/>
  <drawing r:id="rId2"/>
  <legacyDrawing r:id="rId3"/>
  <tableParts count="2">
    <tablePart r:id="rId4"/>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2914C-45FA-4708-AFC1-6769A65901B9}">
  <dimension ref="A1"/>
  <sheetViews>
    <sheetView zoomScale="80" zoomScaleNormal="80" workbookViewId="0">
      <selection activeCell="AC1" sqref="AC1"/>
    </sheetView>
  </sheetViews>
  <sheetFormatPr defaultRowHeight="14.4" x14ac:dyDescent="0.3"/>
  <cols>
    <col min="1" max="16384" width="8.88671875" style="210"/>
  </cols>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P30"/>
  <sheetViews>
    <sheetView zoomScale="80" zoomScaleNormal="80" workbookViewId="0"/>
  </sheetViews>
  <sheetFormatPr defaultRowHeight="14.4" x14ac:dyDescent="0.3"/>
  <cols>
    <col min="1" max="1" width="8.88671875" style="193"/>
    <col min="2" max="2" width="13.88671875" style="193" customWidth="1"/>
    <col min="3" max="3" width="16.21875" style="193" customWidth="1"/>
    <col min="4" max="4" width="11.77734375" style="193" customWidth="1"/>
    <col min="5" max="5" width="12.33203125" style="193" customWidth="1"/>
    <col min="6" max="6" width="12.77734375" style="193" customWidth="1"/>
    <col min="7" max="7" width="15.21875" style="193" customWidth="1"/>
    <col min="8" max="8" width="12.33203125" style="193" customWidth="1"/>
    <col min="9" max="9" width="13.88671875" style="193" customWidth="1"/>
    <col min="10" max="10" width="15.6640625" style="193" customWidth="1"/>
    <col min="11" max="12" width="8.88671875" style="193"/>
    <col min="13" max="13" width="15.77734375" style="193" customWidth="1"/>
    <col min="14" max="14" width="12.44140625" style="193" customWidth="1"/>
    <col min="15" max="15" width="11.109375" style="193" customWidth="1"/>
    <col min="16" max="16" width="42" style="193" customWidth="1"/>
    <col min="17" max="16384" width="8.88671875" style="193"/>
  </cols>
  <sheetData>
    <row r="3" spans="2:16" ht="20.399999999999999" customHeight="1" x14ac:dyDescent="0.3">
      <c r="B3" s="216" t="s">
        <v>48</v>
      </c>
      <c r="C3" s="217"/>
      <c r="D3" s="217"/>
      <c r="E3" s="217"/>
      <c r="F3" s="217"/>
      <c r="G3" s="217"/>
      <c r="H3" s="217"/>
      <c r="I3" s="217"/>
      <c r="J3" s="218"/>
      <c r="M3" s="216" t="s">
        <v>50</v>
      </c>
      <c r="N3" s="217"/>
      <c r="O3" s="217"/>
      <c r="P3" s="218"/>
    </row>
    <row r="4" spans="2:16" x14ac:dyDescent="0.3">
      <c r="B4" s="220" t="s">
        <v>1</v>
      </c>
      <c r="C4" s="221" t="s">
        <v>12</v>
      </c>
      <c r="D4" s="221" t="s">
        <v>11</v>
      </c>
      <c r="E4" s="221" t="s">
        <v>2</v>
      </c>
      <c r="F4" s="221"/>
      <c r="G4" s="221" t="s">
        <v>3</v>
      </c>
      <c r="H4" s="221"/>
      <c r="I4" s="221" t="s">
        <v>13</v>
      </c>
      <c r="J4" s="219" t="s">
        <v>10</v>
      </c>
      <c r="M4" s="199" t="s">
        <v>0</v>
      </c>
      <c r="N4" s="200" t="s">
        <v>30</v>
      </c>
      <c r="O4" s="200" t="s">
        <v>31</v>
      </c>
      <c r="P4" s="201" t="s">
        <v>32</v>
      </c>
    </row>
    <row r="5" spans="2:16" ht="15.6" x14ac:dyDescent="0.3">
      <c r="B5" s="220"/>
      <c r="C5" s="221"/>
      <c r="D5" s="221"/>
      <c r="E5" s="99" t="s">
        <v>4</v>
      </c>
      <c r="F5" s="99" t="s">
        <v>9</v>
      </c>
      <c r="G5" s="99" t="s">
        <v>4</v>
      </c>
      <c r="H5" s="99" t="s">
        <v>5</v>
      </c>
      <c r="I5" s="221"/>
      <c r="J5" s="219"/>
      <c r="M5" s="6" t="s">
        <v>87</v>
      </c>
      <c r="N5" s="13">
        <v>0.6</v>
      </c>
      <c r="O5" s="7"/>
      <c r="P5" s="8" t="s">
        <v>37</v>
      </c>
    </row>
    <row r="6" spans="2:16" ht="15.6" x14ac:dyDescent="0.3">
      <c r="B6" s="196" t="s">
        <v>14</v>
      </c>
      <c r="C6" s="197" t="s">
        <v>15</v>
      </c>
      <c r="D6" s="197" t="s">
        <v>16</v>
      </c>
      <c r="E6" s="197" t="s">
        <v>17</v>
      </c>
      <c r="F6" s="197" t="s">
        <v>52</v>
      </c>
      <c r="G6" s="197" t="s">
        <v>90</v>
      </c>
      <c r="H6" s="197" t="s">
        <v>6</v>
      </c>
      <c r="I6" s="197" t="s">
        <v>91</v>
      </c>
      <c r="J6" s="198" t="s">
        <v>92</v>
      </c>
      <c r="M6" s="6" t="s">
        <v>88</v>
      </c>
      <c r="N6" s="13">
        <v>0.4</v>
      </c>
      <c r="O6" s="7"/>
      <c r="P6" s="8" t="s">
        <v>38</v>
      </c>
    </row>
    <row r="7" spans="2:16" ht="15.6" x14ac:dyDescent="0.3">
      <c r="B7" s="6" t="s">
        <v>7</v>
      </c>
      <c r="C7" s="7">
        <v>86.6</v>
      </c>
      <c r="D7" s="7">
        <v>141.85499999999999</v>
      </c>
      <c r="E7" s="7">
        <v>245.7</v>
      </c>
      <c r="F7" s="7">
        <v>0.98289000000000004</v>
      </c>
      <c r="G7" s="7"/>
      <c r="H7" s="7">
        <v>0.99548999999999999</v>
      </c>
      <c r="I7" s="7"/>
      <c r="J7" s="8">
        <v>54.6</v>
      </c>
      <c r="M7" s="6" t="s">
        <v>89</v>
      </c>
      <c r="N7" s="7">
        <v>150</v>
      </c>
      <c r="O7" s="7" t="s">
        <v>35</v>
      </c>
      <c r="P7" s="8" t="s">
        <v>39</v>
      </c>
    </row>
    <row r="8" spans="2:16" x14ac:dyDescent="0.3">
      <c r="B8" s="6">
        <v>2</v>
      </c>
      <c r="C8" s="7">
        <v>87.4</v>
      </c>
      <c r="D8" s="7">
        <v>141.85499999999999</v>
      </c>
      <c r="E8" s="7">
        <v>244.4</v>
      </c>
      <c r="F8" s="7">
        <v>0.94482999999999995</v>
      </c>
      <c r="G8" s="7">
        <v>300.3</v>
      </c>
      <c r="H8" s="7">
        <v>0.98517999999999994</v>
      </c>
      <c r="I8" s="7"/>
      <c r="J8" s="8"/>
      <c r="M8" s="6" t="s">
        <v>33</v>
      </c>
      <c r="N8" s="7">
        <v>106.3</v>
      </c>
      <c r="O8" s="7" t="s">
        <v>15</v>
      </c>
      <c r="P8" s="8" t="s">
        <v>40</v>
      </c>
    </row>
    <row r="9" spans="2:16" x14ac:dyDescent="0.3">
      <c r="B9" s="6">
        <v>3</v>
      </c>
      <c r="C9" s="7">
        <v>89.9</v>
      </c>
      <c r="D9" s="7">
        <v>142.86799999999999</v>
      </c>
      <c r="E9" s="7">
        <v>241.1</v>
      </c>
      <c r="F9" s="7">
        <v>0.84003000000000005</v>
      </c>
      <c r="G9" s="7">
        <v>299</v>
      </c>
      <c r="H9" s="7">
        <v>0.95408000000000004</v>
      </c>
      <c r="I9" s="7"/>
      <c r="J9" s="8"/>
      <c r="M9" s="6" t="s">
        <v>34</v>
      </c>
      <c r="N9" s="7">
        <v>1.5</v>
      </c>
      <c r="O9" s="7" t="s">
        <v>36</v>
      </c>
      <c r="P9" s="8" t="s">
        <v>41</v>
      </c>
    </row>
    <row r="10" spans="2:16" ht="15.6" x14ac:dyDescent="0.3">
      <c r="B10" s="9">
        <v>4</v>
      </c>
      <c r="C10" s="7">
        <v>94.7</v>
      </c>
      <c r="D10" s="7">
        <v>143.88200000000001</v>
      </c>
      <c r="E10" s="7">
        <v>386.4</v>
      </c>
      <c r="F10" s="7">
        <v>0.62173</v>
      </c>
      <c r="G10" s="7">
        <v>295.7</v>
      </c>
      <c r="H10" s="7">
        <v>0.86873999999999996</v>
      </c>
      <c r="I10" s="7">
        <v>150</v>
      </c>
      <c r="J10" s="8"/>
      <c r="M10" s="6" t="s">
        <v>126</v>
      </c>
      <c r="N10" s="7">
        <v>12.7</v>
      </c>
      <c r="O10" s="7" t="s">
        <v>131</v>
      </c>
      <c r="P10" s="8" t="s">
        <v>133</v>
      </c>
    </row>
    <row r="11" spans="2:16" ht="15.6" x14ac:dyDescent="0.3">
      <c r="B11" s="6">
        <v>5</v>
      </c>
      <c r="C11" s="7">
        <v>99.4</v>
      </c>
      <c r="D11" s="7">
        <v>143.88200000000001</v>
      </c>
      <c r="E11" s="7">
        <v>382.8</v>
      </c>
      <c r="F11" s="7">
        <v>0.50843000000000005</v>
      </c>
      <c r="G11" s="7">
        <v>291</v>
      </c>
      <c r="H11" s="7">
        <v>0.80611999999999995</v>
      </c>
      <c r="I11" s="7"/>
      <c r="J11" s="8"/>
      <c r="M11" s="6" t="s">
        <v>252</v>
      </c>
      <c r="N11" s="7">
        <v>5</v>
      </c>
      <c r="O11" s="7" t="s">
        <v>131</v>
      </c>
      <c r="P11" s="8" t="s">
        <v>132</v>
      </c>
    </row>
    <row r="12" spans="2:16" x14ac:dyDescent="0.3">
      <c r="B12" s="6">
        <v>6</v>
      </c>
      <c r="C12" s="7">
        <v>106.8</v>
      </c>
      <c r="D12" s="7">
        <v>144.89500000000001</v>
      </c>
      <c r="E12" s="7">
        <v>379.9</v>
      </c>
      <c r="F12" s="7">
        <v>0.32683000000000001</v>
      </c>
      <c r="G12" s="7">
        <v>287.39999999999998</v>
      </c>
      <c r="H12" s="7">
        <v>0.65754999999999997</v>
      </c>
      <c r="I12" s="7"/>
      <c r="J12" s="8"/>
      <c r="M12" s="6" t="s">
        <v>42</v>
      </c>
      <c r="N12" s="7">
        <v>4.5</v>
      </c>
      <c r="O12" s="7"/>
      <c r="P12" s="8" t="s">
        <v>43</v>
      </c>
    </row>
    <row r="13" spans="2:16" x14ac:dyDescent="0.3">
      <c r="B13" s="6">
        <v>7</v>
      </c>
      <c r="C13" s="7">
        <v>116</v>
      </c>
      <c r="D13" s="7">
        <v>145.90799999999999</v>
      </c>
      <c r="E13" s="7">
        <v>382.5</v>
      </c>
      <c r="F13" s="7">
        <v>0.15717999999999999</v>
      </c>
      <c r="G13" s="7">
        <v>284.5</v>
      </c>
      <c r="H13" s="7">
        <v>0.41657</v>
      </c>
      <c r="I13" s="7"/>
      <c r="J13" s="8"/>
      <c r="M13" s="6" t="s">
        <v>44</v>
      </c>
      <c r="N13" s="7">
        <f>-1.225*10^7</f>
        <v>-12250000</v>
      </c>
      <c r="O13" s="7" t="s">
        <v>29</v>
      </c>
      <c r="P13" s="8" t="s">
        <v>45</v>
      </c>
    </row>
    <row r="14" spans="2:16" x14ac:dyDescent="0.3">
      <c r="B14" s="10" t="s">
        <v>8</v>
      </c>
      <c r="C14" s="11">
        <v>122.9</v>
      </c>
      <c r="D14" s="11">
        <v>145.90799999999999</v>
      </c>
      <c r="E14" s="11"/>
      <c r="F14" s="11">
        <v>5.9180000000000003E-2</v>
      </c>
      <c r="G14" s="11">
        <v>287.10000000000002</v>
      </c>
      <c r="H14" s="11">
        <v>0.18976000000000001</v>
      </c>
      <c r="I14" s="11"/>
      <c r="J14" s="12">
        <v>95.4</v>
      </c>
      <c r="M14" s="10" t="s">
        <v>46</v>
      </c>
      <c r="N14" s="11">
        <v>12490000</v>
      </c>
      <c r="O14" s="11" t="s">
        <v>29</v>
      </c>
      <c r="P14" s="12" t="s">
        <v>47</v>
      </c>
    </row>
    <row r="17" spans="2:15" ht="21" customHeight="1" x14ac:dyDescent="0.3">
      <c r="B17" s="216" t="s">
        <v>49</v>
      </c>
      <c r="C17" s="217"/>
      <c r="D17" s="217"/>
      <c r="E17" s="217"/>
      <c r="F17" s="217"/>
      <c r="G17" s="217"/>
      <c r="H17" s="218"/>
      <c r="J17" s="216" t="s">
        <v>51</v>
      </c>
      <c r="K17" s="217"/>
      <c r="L17" s="217"/>
      <c r="M17" s="217"/>
      <c r="N17" s="217"/>
      <c r="O17" s="218"/>
    </row>
    <row r="18" spans="2:15" x14ac:dyDescent="0.3">
      <c r="B18" s="199" t="s">
        <v>1</v>
      </c>
      <c r="C18" s="200" t="s">
        <v>18</v>
      </c>
      <c r="D18" s="200" t="s">
        <v>19</v>
      </c>
      <c r="E18" s="200" t="s">
        <v>20</v>
      </c>
      <c r="F18" s="200" t="s">
        <v>21</v>
      </c>
      <c r="G18" s="200" t="s">
        <v>22</v>
      </c>
      <c r="H18" s="201" t="s">
        <v>23</v>
      </c>
      <c r="J18" s="199" t="s">
        <v>1</v>
      </c>
      <c r="K18" s="200" t="s">
        <v>19</v>
      </c>
      <c r="L18" s="200" t="s">
        <v>20</v>
      </c>
      <c r="M18" s="200" t="s">
        <v>21</v>
      </c>
      <c r="N18" s="200" t="s">
        <v>22</v>
      </c>
      <c r="O18" s="201" t="s">
        <v>23</v>
      </c>
    </row>
    <row r="19" spans="2:15" x14ac:dyDescent="0.3">
      <c r="B19" s="145" t="s">
        <v>14</v>
      </c>
      <c r="C19" s="99" t="s">
        <v>24</v>
      </c>
      <c r="D19" s="99" t="s">
        <v>25</v>
      </c>
      <c r="E19" s="99" t="s">
        <v>26</v>
      </c>
      <c r="F19" s="99" t="s">
        <v>27</v>
      </c>
      <c r="G19" s="99" t="s">
        <v>28</v>
      </c>
      <c r="H19" s="172" t="s">
        <v>29</v>
      </c>
      <c r="J19" s="145" t="s">
        <v>14</v>
      </c>
      <c r="K19" s="99" t="s">
        <v>25</v>
      </c>
      <c r="L19" s="99" t="s">
        <v>26</v>
      </c>
      <c r="M19" s="99" t="s">
        <v>27</v>
      </c>
      <c r="N19" s="99" t="s">
        <v>28</v>
      </c>
      <c r="O19" s="172" t="s">
        <v>29</v>
      </c>
    </row>
    <row r="20" spans="2:15" x14ac:dyDescent="0.3">
      <c r="B20" s="6" t="s">
        <v>7</v>
      </c>
      <c r="C20" s="7">
        <v>16.443999999999999</v>
      </c>
      <c r="D20" s="7">
        <v>46.55</v>
      </c>
      <c r="E20" s="7">
        <v>716.5</v>
      </c>
      <c r="F20" s="7">
        <v>0.39329999999999998</v>
      </c>
      <c r="G20" s="7">
        <v>0.1492</v>
      </c>
      <c r="H20" s="8">
        <v>219.2</v>
      </c>
      <c r="J20" s="6" t="s">
        <v>7</v>
      </c>
      <c r="K20" s="7">
        <v>46.195999999999998</v>
      </c>
      <c r="L20" s="7">
        <v>2.1788400000000001</v>
      </c>
      <c r="M20" s="7">
        <v>1.0189999999999999E-2</v>
      </c>
      <c r="N20" s="7">
        <v>2.0500000000000001E-2</v>
      </c>
      <c r="O20" s="8">
        <v>1068.9000000000001</v>
      </c>
    </row>
    <row r="21" spans="2:15" x14ac:dyDescent="0.3">
      <c r="B21" s="6">
        <v>2</v>
      </c>
      <c r="C21" s="7">
        <v>16.466999999999999</v>
      </c>
      <c r="D21" s="7">
        <v>47.618000000000002</v>
      </c>
      <c r="E21" s="7">
        <v>717.1</v>
      </c>
      <c r="F21" s="7">
        <v>0.39760000000000001</v>
      </c>
      <c r="G21" s="7">
        <v>0.14829999999999999</v>
      </c>
      <c r="H21" s="8">
        <v>224.7</v>
      </c>
      <c r="J21" s="6">
        <v>2</v>
      </c>
      <c r="K21" s="7">
        <v>46.485999999999997</v>
      </c>
      <c r="L21" s="7">
        <v>2.1923400000000002</v>
      </c>
      <c r="M21" s="7">
        <v>1.0200000000000001E-2</v>
      </c>
      <c r="N21" s="7">
        <v>2.06E-2</v>
      </c>
      <c r="O21" s="8">
        <v>1066.4000000000001</v>
      </c>
    </row>
    <row r="22" spans="2:15" x14ac:dyDescent="0.3">
      <c r="B22" s="6">
        <v>3</v>
      </c>
      <c r="C22" s="7">
        <v>16.521999999999998</v>
      </c>
      <c r="D22" s="7">
        <v>50.588000000000001</v>
      </c>
      <c r="E22" s="7">
        <v>718.3</v>
      </c>
      <c r="F22" s="7">
        <v>0.40810000000000002</v>
      </c>
      <c r="G22" s="7">
        <v>0.1457</v>
      </c>
      <c r="H22" s="8">
        <v>238.6</v>
      </c>
      <c r="J22" s="6">
        <v>3</v>
      </c>
      <c r="K22" s="7">
        <v>47.356999999999999</v>
      </c>
      <c r="L22" s="7">
        <v>2.2288899999999998</v>
      </c>
      <c r="M22" s="7">
        <v>1.021E-2</v>
      </c>
      <c r="N22" s="7">
        <v>2.07E-2</v>
      </c>
      <c r="O22" s="8">
        <v>1058.9000000000001</v>
      </c>
    </row>
    <row r="23" spans="2:15" ht="15.6" x14ac:dyDescent="0.3">
      <c r="B23" s="9">
        <v>4</v>
      </c>
      <c r="C23" s="7">
        <v>16.565999999999999</v>
      </c>
      <c r="D23" s="7">
        <v>56.682000000000002</v>
      </c>
      <c r="E23" s="7">
        <v>719.2</v>
      </c>
      <c r="F23" s="7">
        <v>0.42080000000000001</v>
      </c>
      <c r="G23" s="7">
        <v>0.1414</v>
      </c>
      <c r="H23" s="8">
        <v>264.10000000000002</v>
      </c>
      <c r="J23" s="9">
        <v>4</v>
      </c>
      <c r="K23" s="7">
        <v>49.752000000000002</v>
      </c>
      <c r="L23" s="7">
        <v>2.3164500000000001</v>
      </c>
      <c r="M23" s="7">
        <v>1.022E-2</v>
      </c>
      <c r="N23" s="7">
        <v>2.1000000000000001E-2</v>
      </c>
      <c r="O23" s="8">
        <v>1039.3</v>
      </c>
    </row>
    <row r="24" spans="2:15" x14ac:dyDescent="0.3">
      <c r="B24" s="6">
        <v>5</v>
      </c>
      <c r="C24" s="7">
        <v>16.52</v>
      </c>
      <c r="D24" s="7">
        <v>59.860999999999997</v>
      </c>
      <c r="E24" s="7">
        <v>718.6</v>
      </c>
      <c r="F24" s="7">
        <v>0.4199</v>
      </c>
      <c r="G24" s="7">
        <v>0.13930000000000001</v>
      </c>
      <c r="H24" s="8">
        <v>277.39999999999998</v>
      </c>
      <c r="J24" s="6">
        <v>5</v>
      </c>
      <c r="K24" s="7">
        <v>51.509</v>
      </c>
      <c r="L24" s="7">
        <v>2.3868</v>
      </c>
      <c r="M24" s="7">
        <v>1.022E-2</v>
      </c>
      <c r="N24" s="7">
        <v>2.12E-2</v>
      </c>
      <c r="O24" s="8">
        <v>1025.9000000000001</v>
      </c>
    </row>
    <row r="25" spans="2:15" x14ac:dyDescent="0.3">
      <c r="B25" s="6">
        <v>6</v>
      </c>
      <c r="C25" s="7">
        <v>16.32</v>
      </c>
      <c r="D25" s="7">
        <v>64.954999999999998</v>
      </c>
      <c r="E25" s="7">
        <v>715.8</v>
      </c>
      <c r="F25" s="7">
        <v>0.40550000000000003</v>
      </c>
      <c r="G25" s="7">
        <v>0.13619999999999999</v>
      </c>
      <c r="H25" s="8">
        <v>300.60000000000002</v>
      </c>
      <c r="J25" s="6">
        <v>6</v>
      </c>
      <c r="K25" s="7">
        <v>55.677</v>
      </c>
      <c r="L25" s="7">
        <v>2.5460600000000002</v>
      </c>
      <c r="M25" s="7">
        <v>1.017E-2</v>
      </c>
      <c r="N25" s="7">
        <v>2.1499999999999998E-2</v>
      </c>
      <c r="O25" s="8">
        <v>996.8</v>
      </c>
    </row>
    <row r="26" spans="2:15" x14ac:dyDescent="0.3">
      <c r="B26" s="6">
        <v>7</v>
      </c>
      <c r="C26" s="7">
        <v>15.907</v>
      </c>
      <c r="D26" s="7">
        <v>69.713999999999999</v>
      </c>
      <c r="E26" s="7">
        <v>710.3</v>
      </c>
      <c r="F26" s="7">
        <v>0.37290000000000001</v>
      </c>
      <c r="G26" s="7">
        <v>0.1333</v>
      </c>
      <c r="H26" s="8">
        <v>327.3</v>
      </c>
      <c r="J26" s="6">
        <v>7</v>
      </c>
      <c r="K26" s="7">
        <v>60.994</v>
      </c>
      <c r="L26" s="7">
        <v>2.8098999999999998</v>
      </c>
      <c r="M26" s="7">
        <v>1.0030000000000001E-2</v>
      </c>
      <c r="N26" s="7">
        <v>2.1899999999999999E-2</v>
      </c>
      <c r="O26" s="8">
        <v>957.4</v>
      </c>
    </row>
    <row r="27" spans="2:15" x14ac:dyDescent="0.3">
      <c r="B27" s="10" t="s">
        <v>8</v>
      </c>
      <c r="C27" s="11">
        <v>15.52</v>
      </c>
      <c r="D27" s="11">
        <v>72.463999999999999</v>
      </c>
      <c r="E27" s="11">
        <v>705.3</v>
      </c>
      <c r="F27" s="11">
        <v>0.34420000000000001</v>
      </c>
      <c r="G27" s="11">
        <v>0.13159999999999999</v>
      </c>
      <c r="H27" s="12">
        <v>346.7</v>
      </c>
      <c r="J27" s="10" t="s">
        <v>8</v>
      </c>
      <c r="K27" s="11">
        <v>68.801000000000002</v>
      </c>
      <c r="L27" s="11">
        <v>3.0600200000000002</v>
      </c>
      <c r="M27" s="11">
        <v>9.8650000000000002E-2</v>
      </c>
      <c r="N27" s="11">
        <v>2.1999999999999999E-2</v>
      </c>
      <c r="O27" s="12">
        <v>927.5</v>
      </c>
    </row>
    <row r="30" spans="2:15" ht="14.4" customHeight="1" x14ac:dyDescent="0.3"/>
  </sheetData>
  <mergeCells count="11">
    <mergeCell ref="M3:P3"/>
    <mergeCell ref="J4:J5"/>
    <mergeCell ref="B3:J3"/>
    <mergeCell ref="B17:H17"/>
    <mergeCell ref="J17:O17"/>
    <mergeCell ref="B4:B5"/>
    <mergeCell ref="C4:C5"/>
    <mergeCell ref="D4:D5"/>
    <mergeCell ref="E4:F4"/>
    <mergeCell ref="G4:H4"/>
    <mergeCell ref="I4:I5"/>
  </mergeCells>
  <pageMargins left="0.7" right="0.7" top="0.75" bottom="0.75" header="0.3" footer="0.3"/>
  <pageSetup orientation="portrait" r:id="rId1"/>
  <legacyDrawing r:id="rId2"/>
  <tableParts count="4">
    <tablePart r:id="rId3"/>
    <tablePart r:id="rId4"/>
    <tablePart r:id="rId5"/>
    <tablePart r:id="rId6"/>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1F5D9-B1EC-4542-8CCD-9ED9845C829C}">
  <dimension ref="B2:S58"/>
  <sheetViews>
    <sheetView zoomScale="80" zoomScaleNormal="80" workbookViewId="0"/>
  </sheetViews>
  <sheetFormatPr defaultRowHeight="14.4" x14ac:dyDescent="0.3"/>
  <cols>
    <col min="1" max="1" width="8.88671875" style="184"/>
    <col min="2" max="2" width="11.6640625" style="184" customWidth="1"/>
    <col min="3" max="3" width="12.109375" style="184" customWidth="1"/>
    <col min="4" max="4" width="13.88671875" style="184" customWidth="1"/>
    <col min="5" max="5" width="14.109375" style="184" customWidth="1"/>
    <col min="6" max="6" width="9.5546875" style="184" bestFit="1" customWidth="1"/>
    <col min="7" max="7" width="15.33203125" style="184" customWidth="1"/>
    <col min="8" max="8" width="15.6640625" style="184" customWidth="1"/>
    <col min="9" max="9" width="18.33203125" style="184" customWidth="1"/>
    <col min="10" max="10" width="14.21875" style="184" customWidth="1"/>
    <col min="11" max="11" width="13.6640625" style="184" customWidth="1"/>
    <col min="12" max="12" width="10.21875" style="184" customWidth="1"/>
    <col min="13" max="13" width="12.6640625" style="184" customWidth="1"/>
    <col min="14" max="14" width="10.77734375" style="184" customWidth="1"/>
    <col min="15" max="15" width="9.44140625" style="184" customWidth="1"/>
    <col min="16" max="16" width="14.44140625" style="184" customWidth="1"/>
    <col min="17" max="17" width="10.33203125" style="184" customWidth="1"/>
    <col min="18" max="18" width="11.88671875" style="184" customWidth="1"/>
    <col min="19" max="19" width="10.44140625" style="184" customWidth="1"/>
    <col min="20" max="20" width="13.109375" style="184" customWidth="1"/>
    <col min="21" max="16384" width="8.88671875" style="184"/>
  </cols>
  <sheetData>
    <row r="2" spans="2:19" ht="15.6" x14ac:dyDescent="0.3">
      <c r="B2" s="225" t="s">
        <v>93</v>
      </c>
      <c r="C2" s="225"/>
      <c r="D2" s="225"/>
      <c r="E2" s="225"/>
      <c r="F2" s="225"/>
      <c r="G2" s="225"/>
      <c r="H2" s="225"/>
      <c r="I2" s="225"/>
      <c r="J2" s="225"/>
      <c r="K2" s="225"/>
      <c r="L2" s="225"/>
      <c r="M2" s="225"/>
      <c r="N2" s="225"/>
      <c r="O2" s="225"/>
      <c r="P2" s="225"/>
      <c r="Q2" s="225"/>
      <c r="R2" s="225"/>
      <c r="S2" s="225"/>
    </row>
    <row r="3" spans="2:19" ht="15.6" x14ac:dyDescent="0.3">
      <c r="B3" s="195" t="s">
        <v>53</v>
      </c>
      <c r="C3" s="195" t="s">
        <v>60</v>
      </c>
      <c r="D3" s="195" t="s">
        <v>59</v>
      </c>
      <c r="E3" s="209" t="s">
        <v>321</v>
      </c>
      <c r="F3" s="195" t="s">
        <v>322</v>
      </c>
      <c r="G3" s="195" t="s">
        <v>58</v>
      </c>
      <c r="H3" s="209" t="s">
        <v>323</v>
      </c>
      <c r="I3" s="195" t="s">
        <v>57</v>
      </c>
      <c r="J3" s="195" t="s">
        <v>55</v>
      </c>
      <c r="K3" s="195" t="s">
        <v>56</v>
      </c>
      <c r="L3" s="195" t="s">
        <v>62</v>
      </c>
      <c r="M3" s="195" t="s">
        <v>19</v>
      </c>
      <c r="N3" s="195" t="s">
        <v>73</v>
      </c>
      <c r="O3" s="195" t="s">
        <v>74</v>
      </c>
      <c r="P3" s="195" t="s">
        <v>63</v>
      </c>
      <c r="Q3" s="195" t="s">
        <v>64</v>
      </c>
      <c r="R3" s="195" t="s">
        <v>65</v>
      </c>
      <c r="S3" s="195" t="s">
        <v>72</v>
      </c>
    </row>
    <row r="4" spans="2:19" ht="16.2" x14ac:dyDescent="0.3">
      <c r="B4" s="99"/>
      <c r="C4" s="99" t="s">
        <v>54</v>
      </c>
      <c r="D4" s="99" t="s">
        <v>54</v>
      </c>
      <c r="E4" s="99" t="s">
        <v>84</v>
      </c>
      <c r="F4" s="99" t="s">
        <v>84</v>
      </c>
      <c r="G4" s="99"/>
      <c r="H4" s="99" t="s">
        <v>24</v>
      </c>
      <c r="I4" s="99"/>
      <c r="J4" s="99"/>
      <c r="K4" s="99" t="s">
        <v>61</v>
      </c>
      <c r="L4" s="99" t="s">
        <v>61</v>
      </c>
      <c r="M4" s="99"/>
      <c r="N4" s="99" t="s">
        <v>85</v>
      </c>
      <c r="O4" s="99" t="s">
        <v>85</v>
      </c>
      <c r="P4" s="99" t="s">
        <v>86</v>
      </c>
      <c r="Q4" s="99" t="s">
        <v>86</v>
      </c>
      <c r="R4" s="99" t="s">
        <v>66</v>
      </c>
      <c r="S4" s="99" t="s">
        <v>67</v>
      </c>
    </row>
    <row r="5" spans="2:19" x14ac:dyDescent="0.3">
      <c r="B5" s="27">
        <v>1</v>
      </c>
      <c r="C5" s="20">
        <f>Properties!E7</f>
        <v>245.7</v>
      </c>
      <c r="D5" s="20">
        <v>301</v>
      </c>
      <c r="E5" s="20">
        <f>Properties!E20</f>
        <v>716.5</v>
      </c>
      <c r="F5" s="20">
        <f>Properties!L20</f>
        <v>2.1788400000000001</v>
      </c>
      <c r="G5" s="20">
        <f>C5/D5*(SQRT(F5/E5))</f>
        <v>4.5013546719139021E-2</v>
      </c>
      <c r="H5" s="20">
        <f>Properties!C20</f>
        <v>16.443999999999999</v>
      </c>
      <c r="I5" s="20">
        <f t="shared" ref="I5:I11" si="0">10^(-1.0262-0.63513*LOG10(G5)-0.20097*(LOG10(G5))^2)</f>
        <v>0.29150509029283833</v>
      </c>
      <c r="J5" s="20">
        <f t="shared" ref="J5:J11" si="1">I5*(H5/20)^0.2</f>
        <v>0.28031196597503544</v>
      </c>
      <c r="K5" s="20">
        <f t="shared" ref="K5:K11" si="2">J5*SQRT((E5-F5)/F5)</f>
        <v>5.0754636897067797</v>
      </c>
      <c r="L5" s="20">
        <f>0.75*K5</f>
        <v>3.8065977672800848</v>
      </c>
      <c r="M5" s="20">
        <f>Properties!D20*Properties!F7+(1-Properties!F7)*Properties!K20</f>
        <v>46.543943059999997</v>
      </c>
      <c r="N5" s="28">
        <f>Table2[[#This Row],[WL]]*Table2[[#This Row],[MW]]/(3600*Table2[[#This Row],[ρL]])</f>
        <v>4.4335298169504529E-3</v>
      </c>
      <c r="O5" s="20">
        <f t="shared" ref="O5:O11" si="3">D5*M5/(3600*F5)</f>
        <v>1.7860837852889098</v>
      </c>
      <c r="P5" s="20">
        <f t="shared" ref="P5:P11" si="4">O5/L5</f>
        <v>0.46920738530383632</v>
      </c>
      <c r="Q5" s="20">
        <f>P5/0.88</f>
        <v>0.53319021057254123</v>
      </c>
      <c r="R5" s="20">
        <f>SQRT(Q5*4/PI())</f>
        <v>0.82394105430341802</v>
      </c>
      <c r="S5" s="20">
        <f>R5*39.3701</f>
        <v>32.438641702030999</v>
      </c>
    </row>
    <row r="6" spans="2:19" x14ac:dyDescent="0.3">
      <c r="B6" s="27">
        <v>2</v>
      </c>
      <c r="C6" s="20">
        <f>Properties!E8</f>
        <v>244.4</v>
      </c>
      <c r="D6" s="20">
        <f>Properties!G8</f>
        <v>300.3</v>
      </c>
      <c r="E6" s="20">
        <f>Properties!E21</f>
        <v>717.1</v>
      </c>
      <c r="F6" s="20">
        <f>Properties!L21</f>
        <v>2.1923400000000002</v>
      </c>
      <c r="G6" s="20">
        <f t="shared" ref="G6:G11" si="5">C6/D6*(SQRT(F6/E6))</f>
        <v>4.4999735596481856E-2</v>
      </c>
      <c r="H6" s="20">
        <f>Properties!C21</f>
        <v>16.466999999999999</v>
      </c>
      <c r="I6" s="20">
        <f t="shared" si="0"/>
        <v>0.29151348367924468</v>
      </c>
      <c r="J6" s="20">
        <f t="shared" si="1"/>
        <v>0.28039840920732872</v>
      </c>
      <c r="K6" s="20">
        <f t="shared" si="2"/>
        <v>5.0634504769405204</v>
      </c>
      <c r="L6" s="20">
        <f t="shared" ref="L6:L11" si="6">0.75*K6</f>
        <v>3.7975878577053903</v>
      </c>
      <c r="M6" s="20">
        <f>Properties!D21*Properties!F8+(1-Properties!F8)*Properties!K21</f>
        <v>47.555547560000001</v>
      </c>
      <c r="N6" s="19">
        <f>Table2[[#This Row],[WL]]*Table2[[#This Row],[MW]]/(3600*Table2[[#This Row],[ρL]])</f>
        <v>4.5021521187437056E-3</v>
      </c>
      <c r="O6" s="20">
        <f t="shared" si="3"/>
        <v>1.8094480139774547</v>
      </c>
      <c r="P6" s="20">
        <f t="shared" si="4"/>
        <v>0.47647298279249667</v>
      </c>
      <c r="Q6" s="20">
        <f t="shared" ref="Q6:Q11" si="7">P6/0.88</f>
        <v>0.54144657135510987</v>
      </c>
      <c r="R6" s="20">
        <f t="shared" ref="R6:R11" si="8">SQRT(Q6*4/PI())</f>
        <v>0.8302958424625495</v>
      </c>
      <c r="S6" s="20">
        <f t="shared" ref="S6:S11" si="9">R6*39.3701</f>
        <v>32.688830347334822</v>
      </c>
    </row>
    <row r="7" spans="2:19" x14ac:dyDescent="0.3">
      <c r="B7" s="27">
        <v>3</v>
      </c>
      <c r="C7" s="20">
        <f>Properties!E9</f>
        <v>241.1</v>
      </c>
      <c r="D7" s="20">
        <f>Properties!G9</f>
        <v>299</v>
      </c>
      <c r="E7" s="20">
        <f>Properties!E22</f>
        <v>718.3</v>
      </c>
      <c r="F7" s="20">
        <f>Properties!L22</f>
        <v>2.2288899999999998</v>
      </c>
      <c r="G7" s="20">
        <f t="shared" si="5"/>
        <v>4.4917689294627874E-2</v>
      </c>
      <c r="H7" s="20">
        <f>Properties!C22</f>
        <v>16.521999999999998</v>
      </c>
      <c r="I7" s="20">
        <f t="shared" si="0"/>
        <v>0.29156330455860729</v>
      </c>
      <c r="J7" s="20">
        <f t="shared" si="1"/>
        <v>0.28063341958650417</v>
      </c>
      <c r="K7" s="20">
        <f t="shared" si="2"/>
        <v>5.0300597814946215</v>
      </c>
      <c r="L7" s="20">
        <f t="shared" si="6"/>
        <v>3.7725448361209661</v>
      </c>
      <c r="M7" s="20">
        <f>Properties!D22*Properties!F9+(1-Properties!F9)*Properties!K22</f>
        <v>50.071136930000002</v>
      </c>
      <c r="N7" s="19">
        <f>Table2[[#This Row],[WL]]*Table2[[#This Row],[MW]]/(3600*Table2[[#This Row],[ρL]])</f>
        <v>4.6684885276281184E-3</v>
      </c>
      <c r="O7" s="20">
        <f t="shared" si="3"/>
        <v>1.8658103787174087</v>
      </c>
      <c r="P7" s="20">
        <f t="shared" si="4"/>
        <v>0.49457606463754744</v>
      </c>
      <c r="Q7" s="20">
        <f t="shared" si="7"/>
        <v>0.56201825526994031</v>
      </c>
      <c r="R7" s="20">
        <f t="shared" si="8"/>
        <v>0.84592190388519273</v>
      </c>
      <c r="S7" s="20">
        <f t="shared" si="9"/>
        <v>33.304029948150429</v>
      </c>
    </row>
    <row r="8" spans="2:19" x14ac:dyDescent="0.3">
      <c r="B8" s="27">
        <v>4</v>
      </c>
      <c r="C8" s="20">
        <f>Properties!E10</f>
        <v>386.4</v>
      </c>
      <c r="D8" s="20">
        <f>Properties!G10</f>
        <v>295.7</v>
      </c>
      <c r="E8" s="20">
        <f>Properties!E23</f>
        <v>719.2</v>
      </c>
      <c r="F8" s="20">
        <f>Properties!L23</f>
        <v>2.3164500000000001</v>
      </c>
      <c r="G8" s="20">
        <f t="shared" si="5"/>
        <v>7.4160460705840398E-2</v>
      </c>
      <c r="H8" s="20">
        <f>Properties!C23</f>
        <v>16.565999999999999</v>
      </c>
      <c r="I8" s="20">
        <f t="shared" si="0"/>
        <v>0.27217429326421094</v>
      </c>
      <c r="J8" s="20">
        <f t="shared" si="1"/>
        <v>0.26211063113214067</v>
      </c>
      <c r="K8" s="20">
        <f t="shared" si="2"/>
        <v>4.6110250159895099</v>
      </c>
      <c r="L8" s="20">
        <f t="shared" si="6"/>
        <v>3.4582687619921324</v>
      </c>
      <c r="M8" s="20">
        <f>Properties!D23*Properties!F10+(1-Properties!F10)*Properties!K23</f>
        <v>54.060588899999999</v>
      </c>
      <c r="N8" s="19">
        <f>Table2[[#This Row],[WL]]*Table2[[#This Row],[MW]]/(3600*Table2[[#This Row],[ρL]])</f>
        <v>8.0679966749165732E-3</v>
      </c>
      <c r="O8" s="29">
        <f>D8*M8/(3600*F8)</f>
        <v>1.916931815892853</v>
      </c>
      <c r="P8" s="20">
        <f t="shared" si="4"/>
        <v>0.55430388666166197</v>
      </c>
      <c r="Q8" s="20">
        <f t="shared" si="7"/>
        <v>0.62989078029734313</v>
      </c>
      <c r="R8" s="20">
        <f t="shared" si="8"/>
        <v>0.89554556016914377</v>
      </c>
      <c r="S8" s="20">
        <f t="shared" si="9"/>
        <v>35.25771825841521</v>
      </c>
    </row>
    <row r="9" spans="2:19" x14ac:dyDescent="0.3">
      <c r="B9" s="27">
        <v>5</v>
      </c>
      <c r="C9" s="20">
        <f>Properties!E11</f>
        <v>382.8</v>
      </c>
      <c r="D9" s="20">
        <f>Properties!G11</f>
        <v>291</v>
      </c>
      <c r="E9" s="20">
        <f>Properties!E24</f>
        <v>718.6</v>
      </c>
      <c r="F9" s="20">
        <f>Properties!L24</f>
        <v>2.3868</v>
      </c>
      <c r="G9" s="20">
        <f t="shared" si="5"/>
        <v>7.5812941660527197E-2</v>
      </c>
      <c r="H9" s="20">
        <f>Properties!C24</f>
        <v>16.52</v>
      </c>
      <c r="I9" s="20">
        <f t="shared" si="0"/>
        <v>0.27107925808210465</v>
      </c>
      <c r="J9" s="20">
        <f t="shared" si="1"/>
        <v>0.26091094501921358</v>
      </c>
      <c r="K9" s="20">
        <f t="shared" si="2"/>
        <v>4.5196566517680665</v>
      </c>
      <c r="L9" s="20">
        <f t="shared" si="6"/>
        <v>3.3897424888260499</v>
      </c>
      <c r="M9" s="20">
        <f>Properties!D24*Properties!F11+(1-Properties!F11)*Properties!K24</f>
        <v>55.75540736</v>
      </c>
      <c r="N9" s="19">
        <f>Table2[[#This Row],[WL]]*Table2[[#This Row],[MW]]/(3600*Table2[[#This Row],[ρL]])</f>
        <v>8.2502898913813898E-3</v>
      </c>
      <c r="O9" s="20">
        <f t="shared" si="3"/>
        <v>1.88825851695436</v>
      </c>
      <c r="P9" s="20">
        <f t="shared" si="4"/>
        <v>0.55705072676724476</v>
      </c>
      <c r="Q9" s="20">
        <f t="shared" si="7"/>
        <v>0.63301218950823268</v>
      </c>
      <c r="R9" s="20">
        <f t="shared" si="8"/>
        <v>0.89776174566600386</v>
      </c>
      <c r="S9" s="20">
        <f t="shared" si="9"/>
        <v>35.344969703045138</v>
      </c>
    </row>
    <row r="10" spans="2:19" x14ac:dyDescent="0.3">
      <c r="B10" s="27">
        <v>6</v>
      </c>
      <c r="C10" s="20">
        <f>Properties!E12</f>
        <v>379.9</v>
      </c>
      <c r="D10" s="20">
        <f>Properties!G12</f>
        <v>287.39999999999998</v>
      </c>
      <c r="E10" s="20">
        <f>Properties!E25</f>
        <v>715.8</v>
      </c>
      <c r="F10" s="20">
        <f>Properties!L25</f>
        <v>2.5460600000000002</v>
      </c>
      <c r="G10" s="20">
        <f t="shared" si="5"/>
        <v>7.8835349933059629E-2</v>
      </c>
      <c r="H10" s="20">
        <f>Properties!C25</f>
        <v>16.32</v>
      </c>
      <c r="I10" s="20">
        <f t="shared" si="0"/>
        <v>0.26909149600771326</v>
      </c>
      <c r="J10" s="20">
        <f t="shared" si="1"/>
        <v>0.25836757255453108</v>
      </c>
      <c r="K10" s="20">
        <f t="shared" si="2"/>
        <v>4.3243991927681336</v>
      </c>
      <c r="L10" s="20">
        <f t="shared" si="6"/>
        <v>3.2432993945761002</v>
      </c>
      <c r="M10" s="20">
        <f>Properties!D25*Properties!F12+(1-Properties!F12)*Properties!K25</f>
        <v>58.709328740000004</v>
      </c>
      <c r="N10" s="19">
        <f>Table2[[#This Row],[WL]]*Table2[[#This Row],[MW]]/(3600*Table2[[#This Row],[ρL]])</f>
        <v>8.6553017557379468E-3</v>
      </c>
      <c r="O10" s="20">
        <f t="shared" si="3"/>
        <v>1.840868404938087</v>
      </c>
      <c r="P10" s="20">
        <f t="shared" si="4"/>
        <v>0.56759126462905185</v>
      </c>
      <c r="Q10" s="20">
        <f t="shared" si="7"/>
        <v>0.64499007344210435</v>
      </c>
      <c r="R10" s="20">
        <f t="shared" si="8"/>
        <v>0.90621568484998327</v>
      </c>
      <c r="S10" s="20">
        <f t="shared" si="9"/>
        <v>35.677802134112326</v>
      </c>
    </row>
    <row r="11" spans="2:19" x14ac:dyDescent="0.3">
      <c r="B11" s="27">
        <v>7</v>
      </c>
      <c r="C11" s="20">
        <f>Properties!E13</f>
        <v>382.5</v>
      </c>
      <c r="D11" s="20">
        <f>Properties!G13</f>
        <v>284.5</v>
      </c>
      <c r="E11" s="20">
        <f>Properties!E26</f>
        <v>710.3</v>
      </c>
      <c r="F11" s="20">
        <f>Properties!L26</f>
        <v>2.8098999999999998</v>
      </c>
      <c r="G11" s="20">
        <f t="shared" si="5"/>
        <v>8.4561697718047252E-2</v>
      </c>
      <c r="H11" s="20">
        <f>Properties!C26</f>
        <v>15.907</v>
      </c>
      <c r="I11" s="20">
        <f t="shared" si="0"/>
        <v>0.26538507056296612</v>
      </c>
      <c r="J11" s="20">
        <f t="shared" si="1"/>
        <v>0.25350594281144873</v>
      </c>
      <c r="K11" s="20">
        <f t="shared" si="2"/>
        <v>4.0225633846992892</v>
      </c>
      <c r="L11" s="20">
        <f t="shared" si="6"/>
        <v>3.0169225385244669</v>
      </c>
      <c r="M11" s="20">
        <f>Properties!D26*Properties!F13+(1-Properties!F13)*Properties!K26</f>
        <v>62.364609600000001</v>
      </c>
      <c r="N11" s="28">
        <f>Table2[[#This Row],[WL]]*Table2[[#This Row],[MW]]/(3600*Table2[[#This Row],[ρL]])</f>
        <v>9.3287903280304101E-3</v>
      </c>
      <c r="O11" s="29">
        <f t="shared" si="3"/>
        <v>1.7539900027284485</v>
      </c>
      <c r="P11" s="20">
        <f t="shared" si="4"/>
        <v>0.58138383744724831</v>
      </c>
      <c r="Q11" s="20">
        <f t="shared" si="7"/>
        <v>0.66066345164460039</v>
      </c>
      <c r="R11" s="20">
        <f t="shared" si="8"/>
        <v>0.91716019996243414</v>
      </c>
      <c r="S11" s="20">
        <f t="shared" si="9"/>
        <v>36.108688788541031</v>
      </c>
    </row>
    <row r="14" spans="2:19" ht="28.8" customHeight="1" x14ac:dyDescent="0.3">
      <c r="B14" s="226" t="s">
        <v>94</v>
      </c>
      <c r="C14" s="227"/>
      <c r="D14" s="227"/>
      <c r="E14" s="227"/>
      <c r="F14" s="227"/>
      <c r="G14" s="227"/>
      <c r="H14" s="227"/>
      <c r="I14" s="228"/>
    </row>
    <row r="15" spans="2:19" ht="15.6" customHeight="1" x14ac:dyDescent="0.3">
      <c r="B15" s="146"/>
      <c r="C15" s="175" t="s">
        <v>53</v>
      </c>
      <c r="D15" s="175" t="s">
        <v>75</v>
      </c>
      <c r="E15" s="175" t="s">
        <v>55</v>
      </c>
      <c r="F15" s="175" t="s">
        <v>76</v>
      </c>
      <c r="G15" s="175" t="s">
        <v>78</v>
      </c>
      <c r="H15" s="175" t="s">
        <v>77</v>
      </c>
      <c r="I15" s="194" t="s">
        <v>79</v>
      </c>
    </row>
    <row r="16" spans="2:19" ht="14.4" customHeight="1" x14ac:dyDescent="0.3">
      <c r="B16" s="237" t="s">
        <v>69</v>
      </c>
      <c r="C16" s="14">
        <v>1</v>
      </c>
      <c r="D16" s="21">
        <f>10^(-1.1622-0.56014*LOG10(G5)-0.18168*(LOG10(G5))^2)</f>
        <v>0.1830806589612361</v>
      </c>
      <c r="E16" s="21">
        <f>D16*(H5/20)^0.2</f>
        <v>0.17605078317457393</v>
      </c>
      <c r="F16" s="21">
        <f>0.75*(E16*SQRT((E5-F5)/F5))</f>
        <v>2.3907453106012868</v>
      </c>
      <c r="G16" s="21">
        <f>($O$5/F16)/0.88</f>
        <v>0.84895729214692761</v>
      </c>
      <c r="H16" s="30">
        <f>SQRT(4*G16/PI())*39.3701</f>
        <v>40.932144512452297</v>
      </c>
      <c r="I16" s="229" t="s">
        <v>80</v>
      </c>
    </row>
    <row r="17" spans="2:11" x14ac:dyDescent="0.3">
      <c r="B17" s="238"/>
      <c r="C17" s="3">
        <v>4</v>
      </c>
      <c r="D17" s="22">
        <f>10^(-1.1622-0.56014*LOG10(G8)-0.18168*(LOG10(G8))^2)</f>
        <v>0.17327871493667044</v>
      </c>
      <c r="E17" s="22">
        <f>D17*(H8/20)^0.2</f>
        <v>0.16687172322232371</v>
      </c>
      <c r="F17" s="22">
        <f>0.75*(E17*SQRT((E8-F8)/F8))</f>
        <v>2.201693480294685</v>
      </c>
      <c r="G17" s="22">
        <f>($O$8/F17)/0.88</f>
        <v>0.989389135438414</v>
      </c>
      <c r="H17" s="31">
        <f t="shared" ref="H17:H27" si="10">SQRT(4*G17/PI())*39.3701</f>
        <v>44.188081437605788</v>
      </c>
      <c r="I17" s="230"/>
    </row>
    <row r="18" spans="2:11" ht="14.4" customHeight="1" x14ac:dyDescent="0.3">
      <c r="B18" s="239"/>
      <c r="C18" s="15">
        <v>7</v>
      </c>
      <c r="D18" s="23">
        <f>10^(-1.1622-0.56014*LOG10(G11)-0.18168*(LOG10(G11))^2)</f>
        <v>0.1696786458843127</v>
      </c>
      <c r="E18" s="23">
        <f>D18*(H11/20)^0.2</f>
        <v>0.16208351513001507</v>
      </c>
      <c r="F18" s="23">
        <f>0.75*(E18*SQRT((E11-F11)/F11))</f>
        <v>1.9289228666434648</v>
      </c>
      <c r="G18" s="23">
        <f>($O$11/F18)/0.88</f>
        <v>1.0333074961749493</v>
      </c>
      <c r="H18" s="32">
        <f t="shared" si="10"/>
        <v>45.158173437578739</v>
      </c>
      <c r="I18" s="230"/>
    </row>
    <row r="19" spans="2:11" x14ac:dyDescent="0.3">
      <c r="B19" s="222" t="s">
        <v>70</v>
      </c>
      <c r="C19" s="16">
        <v>1</v>
      </c>
      <c r="D19" s="24">
        <f>10^(-1.0674-0.5578*LOG10(G5)-0.17919*(LOG10(G5))^2)</f>
        <v>0.22845826083362869</v>
      </c>
      <c r="E19" s="24">
        <f>D19*(H5/20)^0.2</f>
        <v>0.2196859896106082</v>
      </c>
      <c r="F19" s="24">
        <f>0.75*(E19*SQRT((E5-F5)/F5))</f>
        <v>2.9833053849329216</v>
      </c>
      <c r="G19" s="24">
        <f>($O$5/F19)/0.88</f>
        <v>0.68033285340202254</v>
      </c>
      <c r="H19" s="33">
        <f t="shared" si="10"/>
        <v>36.642263969391124</v>
      </c>
      <c r="I19" s="231" t="s">
        <v>81</v>
      </c>
    </row>
    <row r="20" spans="2:11" x14ac:dyDescent="0.3">
      <c r="B20" s="223"/>
      <c r="C20" s="17">
        <v>4</v>
      </c>
      <c r="D20" s="25">
        <f>10^(-1.0674-0.5578*LOG10(G8)-0.17919*(LOG10(G8))^2)</f>
        <v>0.21581415828244382</v>
      </c>
      <c r="E20" s="25">
        <f>D20*(H8/20)^0.2</f>
        <v>0.20783441579381975</v>
      </c>
      <c r="F20" s="25">
        <f>0.75*(E20*SQRT((E8-F8)/F8))</f>
        <v>2.7421522915806542</v>
      </c>
      <c r="G20" s="25">
        <f>($O$8/F20)/0.88</f>
        <v>0.79438753845195786</v>
      </c>
      <c r="H20" s="34">
        <f t="shared" si="10"/>
        <v>39.594766721682056</v>
      </c>
      <c r="I20" s="232"/>
    </row>
    <row r="21" spans="2:11" ht="14.4" customHeight="1" x14ac:dyDescent="0.3">
      <c r="B21" s="224"/>
      <c r="C21" s="18">
        <v>7</v>
      </c>
      <c r="D21" s="26">
        <f>10^(-1.0674-0.5578*LOG10(G11)-0.17919*(LOG10(G11))^2)</f>
        <v>0.21124316084283426</v>
      </c>
      <c r="E21" s="26">
        <f>D21*(H11/20)^0.2</f>
        <v>0.20178752534320663</v>
      </c>
      <c r="F21" s="26">
        <f>0.75*(E21*SQRT((E11-F11)/F11))</f>
        <v>2.4014321970108221</v>
      </c>
      <c r="G21" s="26">
        <f>($O$11/F21)/0.88</f>
        <v>0.82999239375859091</v>
      </c>
      <c r="H21" s="35">
        <f t="shared" si="10"/>
        <v>40.472369689660709</v>
      </c>
      <c r="I21" s="232"/>
    </row>
    <row r="22" spans="2:11" x14ac:dyDescent="0.3">
      <c r="B22" s="237" t="s">
        <v>68</v>
      </c>
      <c r="C22" s="14">
        <v>1</v>
      </c>
      <c r="D22" s="21">
        <f>I5</f>
        <v>0.29150509029283833</v>
      </c>
      <c r="E22" s="21">
        <f>D22*(H5/20)^0.2</f>
        <v>0.28031196597503544</v>
      </c>
      <c r="F22" s="21">
        <f>0.75*(E22*SQRT((E5-F5)/F5))</f>
        <v>3.8065977672800848</v>
      </c>
      <c r="G22" s="21">
        <f>($O$5/F22)/0.88</f>
        <v>0.53319021057254123</v>
      </c>
      <c r="H22" s="30">
        <f t="shared" si="10"/>
        <v>32.438641702030999</v>
      </c>
      <c r="I22" s="229" t="s">
        <v>82</v>
      </c>
    </row>
    <row r="23" spans="2:11" x14ac:dyDescent="0.3">
      <c r="B23" s="238"/>
      <c r="C23" s="3">
        <v>4</v>
      </c>
      <c r="D23" s="22">
        <f>I8</f>
        <v>0.27217429326421094</v>
      </c>
      <c r="E23" s="22">
        <f>D23*(H8/20)^0.2</f>
        <v>0.26211063113214067</v>
      </c>
      <c r="F23" s="22">
        <f>0.75*(E23*SQRT((E8-F8)/F8))</f>
        <v>3.4582687619921324</v>
      </c>
      <c r="G23" s="22">
        <f>($O$8/F23)/0.88</f>
        <v>0.62989078029734313</v>
      </c>
      <c r="H23" s="31">
        <f t="shared" si="10"/>
        <v>35.25771825841521</v>
      </c>
      <c r="I23" s="230"/>
    </row>
    <row r="24" spans="2:11" ht="14.4" customHeight="1" x14ac:dyDescent="0.3">
      <c r="B24" s="239"/>
      <c r="C24" s="15">
        <v>7</v>
      </c>
      <c r="D24" s="23">
        <f>I11</f>
        <v>0.26538507056296612</v>
      </c>
      <c r="E24" s="23">
        <f>D24*(H11/20)^0.2</f>
        <v>0.25350594281144873</v>
      </c>
      <c r="F24" s="23">
        <f>0.75*(E24*SQRT((E11-F11)/F11))</f>
        <v>3.0169225385244669</v>
      </c>
      <c r="G24" s="23">
        <f>($O$11/F24)/0.88</f>
        <v>0.66066345164460039</v>
      </c>
      <c r="H24" s="32">
        <f t="shared" si="10"/>
        <v>36.108688788541031</v>
      </c>
      <c r="I24" s="233"/>
    </row>
    <row r="25" spans="2:11" x14ac:dyDescent="0.3">
      <c r="B25" s="222" t="s">
        <v>71</v>
      </c>
      <c r="C25" s="16">
        <v>1</v>
      </c>
      <c r="D25" s="24">
        <f>10^(-0.94506-0.70234*LOG10(G5)-0.22618*(LOG10(G5))^2)</f>
        <v>0.38956237172446812</v>
      </c>
      <c r="E25" s="24">
        <f>D25*(H5/20)^0.2</f>
        <v>0.37460407356277986</v>
      </c>
      <c r="F25" s="24">
        <f>0.75*(E25*SQRT((E5-F5)/F5))</f>
        <v>5.0870715599957617</v>
      </c>
      <c r="G25" s="24">
        <f>($O$5/F25)/0.88</f>
        <v>0.3989801678950089</v>
      </c>
      <c r="H25" s="33">
        <f t="shared" si="10"/>
        <v>28.060618000041814</v>
      </c>
      <c r="I25" s="234" t="s">
        <v>83</v>
      </c>
    </row>
    <row r="26" spans="2:11" x14ac:dyDescent="0.3">
      <c r="B26" s="223"/>
      <c r="C26" s="17">
        <v>4</v>
      </c>
      <c r="D26" s="25">
        <f>10^(-0.94506-0.70234*LOG10(G8)-0.22618*(LOG10(G8))^2)</f>
        <v>0.36286241726461915</v>
      </c>
      <c r="E26" s="25">
        <f>D26*(H8/20)^0.2</f>
        <v>0.34944555587046627</v>
      </c>
      <c r="F26" s="25">
        <f>0.75*(E26*SQRT((E8-F8)/F8))</f>
        <v>4.6105594598128583</v>
      </c>
      <c r="G26" s="25">
        <f>($O$8/F26)/0.88</f>
        <v>0.47246578814484458</v>
      </c>
      <c r="H26" s="34">
        <f t="shared" si="10"/>
        <v>30.535621258038084</v>
      </c>
      <c r="I26" s="235"/>
    </row>
    <row r="27" spans="2:11" x14ac:dyDescent="0.3">
      <c r="B27" s="224"/>
      <c r="C27" s="130">
        <v>7</v>
      </c>
      <c r="D27" s="26">
        <f>10^(-0.94506-0.70234*LOG10(G11)-0.22618*(LOG10(G11))^2)</f>
        <v>0.35326900554828478</v>
      </c>
      <c r="E27" s="26">
        <f>D27*(H11/20)^0.2</f>
        <v>0.33745602994020923</v>
      </c>
      <c r="F27" s="26">
        <f>0.75*(E27*SQRT((E11-F11)/F11))</f>
        <v>4.0159954090102961</v>
      </c>
      <c r="G27" s="35">
        <f>($O$11/F27)/0.88</f>
        <v>0.49630795223871088</v>
      </c>
      <c r="H27" s="192">
        <f t="shared" si="10"/>
        <v>31.29660251657246</v>
      </c>
      <c r="I27" s="236"/>
    </row>
    <row r="30" spans="2:11" ht="20.399999999999999" customHeight="1" x14ac:dyDescent="0.3">
      <c r="B30" s="241" t="s">
        <v>98</v>
      </c>
      <c r="C30" s="241"/>
      <c r="D30" s="241"/>
      <c r="E30" s="241"/>
      <c r="F30" s="241"/>
      <c r="G30" s="241"/>
      <c r="H30" s="241"/>
      <c r="I30" s="241"/>
      <c r="J30" s="241"/>
      <c r="K30" s="241"/>
    </row>
    <row r="31" spans="2:11" x14ac:dyDescent="0.3">
      <c r="B31" s="37"/>
      <c r="C31" s="248" t="s">
        <v>95</v>
      </c>
      <c r="D31" s="249"/>
      <c r="E31" s="250"/>
      <c r="F31" s="248" t="s">
        <v>97</v>
      </c>
      <c r="G31" s="249"/>
      <c r="H31" s="250"/>
      <c r="I31" s="248" t="s">
        <v>96</v>
      </c>
      <c r="J31" s="249"/>
      <c r="K31" s="250"/>
    </row>
    <row r="32" spans="2:11" ht="16.2" x14ac:dyDescent="0.3">
      <c r="B32" s="37"/>
      <c r="C32" s="4" t="s">
        <v>53</v>
      </c>
      <c r="D32" s="1" t="s">
        <v>78</v>
      </c>
      <c r="E32" s="5" t="s">
        <v>77</v>
      </c>
      <c r="F32" s="4" t="s">
        <v>53</v>
      </c>
      <c r="G32" s="1" t="s">
        <v>78</v>
      </c>
      <c r="H32" s="5" t="s">
        <v>77</v>
      </c>
      <c r="I32" s="4" t="s">
        <v>53</v>
      </c>
      <c r="J32" s="1" t="s">
        <v>78</v>
      </c>
      <c r="K32" s="5" t="s">
        <v>77</v>
      </c>
    </row>
    <row r="33" spans="2:11" x14ac:dyDescent="0.3">
      <c r="B33" s="242" t="s">
        <v>69</v>
      </c>
      <c r="C33" s="48">
        <f>C16</f>
        <v>1</v>
      </c>
      <c r="D33" s="50">
        <f>G16*0.88/0.9</f>
        <v>0.83009157454366256</v>
      </c>
      <c r="E33" s="51">
        <f>SQRT(4*D33/PI())*39.3701</f>
        <v>40.474787760910637</v>
      </c>
      <c r="F33" s="48">
        <f>C16</f>
        <v>1</v>
      </c>
      <c r="G33" s="50">
        <f>G16</f>
        <v>0.84895729214692761</v>
      </c>
      <c r="H33" s="51">
        <f>H16</f>
        <v>40.932144512452297</v>
      </c>
      <c r="I33" s="48">
        <f>C16</f>
        <v>1</v>
      </c>
      <c r="J33" s="50">
        <f>G16*0.88/0.86</f>
        <v>0.86870048498755392</v>
      </c>
      <c r="K33" s="51">
        <f>SQRT(4*J33/PI())*39.3701</f>
        <v>41.40536421631478</v>
      </c>
    </row>
    <row r="34" spans="2:11" x14ac:dyDescent="0.3">
      <c r="B34" s="243"/>
      <c r="C34" s="43">
        <f t="shared" ref="C34:C44" si="11">C17</f>
        <v>4</v>
      </c>
      <c r="D34" s="44">
        <f t="shared" ref="D34:D44" si="12">G17*0.88/0.9</f>
        <v>0.96740271020644919</v>
      </c>
      <c r="E34" s="45">
        <f t="shared" ref="E34:E44" si="13">SQRT(4*D34/PI())*39.3701</f>
        <v>43.694344360697592</v>
      </c>
      <c r="F34" s="43">
        <f t="shared" ref="F34:F44" si="14">C17</f>
        <v>4</v>
      </c>
      <c r="G34" s="44">
        <f t="shared" ref="G34:H44" si="15">G17</f>
        <v>0.989389135438414</v>
      </c>
      <c r="H34" s="45">
        <f t="shared" si="15"/>
        <v>44.188081437605788</v>
      </c>
      <c r="I34" s="43">
        <f t="shared" ref="I34:I44" si="16">C17</f>
        <v>4</v>
      </c>
      <c r="J34" s="44">
        <f t="shared" ref="J34:J44" si="17">G17*0.88/0.86</f>
        <v>1.0123981850997725</v>
      </c>
      <c r="K34" s="45">
        <f t="shared" ref="K34:K44" si="18">SQRT(4*J34/PI())*39.3701</f>
        <v>44.698943281304047</v>
      </c>
    </row>
    <row r="35" spans="2:11" x14ac:dyDescent="0.3">
      <c r="B35" s="244"/>
      <c r="C35" s="40">
        <f t="shared" si="11"/>
        <v>7</v>
      </c>
      <c r="D35" s="42">
        <f t="shared" si="12"/>
        <v>1.0103451073710616</v>
      </c>
      <c r="E35" s="55">
        <f t="shared" si="13"/>
        <v>44.653597003703332</v>
      </c>
      <c r="F35" s="40">
        <f t="shared" si="14"/>
        <v>7</v>
      </c>
      <c r="G35" s="42">
        <f t="shared" si="15"/>
        <v>1.0333074961749493</v>
      </c>
      <c r="H35" s="55">
        <f t="shared" si="15"/>
        <v>45.158173437578739</v>
      </c>
      <c r="I35" s="40">
        <f t="shared" si="16"/>
        <v>7</v>
      </c>
      <c r="J35" s="42">
        <f t="shared" si="17"/>
        <v>1.0573379030627388</v>
      </c>
      <c r="K35" s="55">
        <f t="shared" si="18"/>
        <v>45.680250590282057</v>
      </c>
    </row>
    <row r="36" spans="2:11" x14ac:dyDescent="0.3">
      <c r="B36" s="245" t="s">
        <v>70</v>
      </c>
      <c r="C36" s="52">
        <f t="shared" si="11"/>
        <v>1</v>
      </c>
      <c r="D36" s="53">
        <f t="shared" si="12"/>
        <v>0.66521434554864423</v>
      </c>
      <c r="E36" s="54">
        <f t="shared" si="13"/>
        <v>36.232840348474447</v>
      </c>
      <c r="F36" s="52">
        <f t="shared" si="14"/>
        <v>1</v>
      </c>
      <c r="G36" s="53">
        <f t="shared" si="15"/>
        <v>0.68033285340202254</v>
      </c>
      <c r="H36" s="54">
        <f t="shared" si="15"/>
        <v>36.642263969391124</v>
      </c>
      <c r="I36" s="52">
        <f t="shared" si="16"/>
        <v>1</v>
      </c>
      <c r="J36" s="53">
        <f t="shared" si="17"/>
        <v>0.69615454766718587</v>
      </c>
      <c r="K36" s="54">
        <f t="shared" si="18"/>
        <v>37.065888030895429</v>
      </c>
    </row>
    <row r="37" spans="2:11" x14ac:dyDescent="0.3">
      <c r="B37" s="246"/>
      <c r="C37" s="38">
        <f t="shared" si="11"/>
        <v>4</v>
      </c>
      <c r="D37" s="20">
        <f t="shared" si="12"/>
        <v>0.77673448204191431</v>
      </c>
      <c r="E37" s="41">
        <f t="shared" si="13"/>
        <v>39.152353207765884</v>
      </c>
      <c r="F37" s="38">
        <f t="shared" si="14"/>
        <v>4</v>
      </c>
      <c r="G37" s="20">
        <f t="shared" si="15"/>
        <v>0.79438753845195786</v>
      </c>
      <c r="H37" s="41">
        <f t="shared" si="15"/>
        <v>39.594766721682056</v>
      </c>
      <c r="I37" s="38">
        <f t="shared" si="16"/>
        <v>4</v>
      </c>
      <c r="J37" s="20">
        <f t="shared" si="17"/>
        <v>0.81286166725316611</v>
      </c>
      <c r="K37" s="41">
        <f t="shared" si="18"/>
        <v>40.052524896967455</v>
      </c>
    </row>
    <row r="38" spans="2:11" x14ac:dyDescent="0.3">
      <c r="B38" s="247"/>
      <c r="C38" s="46">
        <f t="shared" si="11"/>
        <v>7</v>
      </c>
      <c r="D38" s="47">
        <f t="shared" si="12"/>
        <v>0.81154811834173324</v>
      </c>
      <c r="E38" s="55">
        <f t="shared" si="13"/>
        <v>40.020150248218407</v>
      </c>
      <c r="F38" s="46">
        <f t="shared" si="14"/>
        <v>7</v>
      </c>
      <c r="G38" s="47">
        <f t="shared" si="15"/>
        <v>0.82999239375859091</v>
      </c>
      <c r="H38" s="55">
        <f t="shared" si="15"/>
        <v>40.472369689660709</v>
      </c>
      <c r="I38" s="46">
        <f t="shared" si="16"/>
        <v>7</v>
      </c>
      <c r="J38" s="47">
        <f t="shared" si="17"/>
        <v>0.84929454245065117</v>
      </c>
      <c r="K38" s="55">
        <f t="shared" si="18"/>
        <v>40.940273901064238</v>
      </c>
    </row>
    <row r="39" spans="2:11" x14ac:dyDescent="0.3">
      <c r="B39" s="242" t="s">
        <v>68</v>
      </c>
      <c r="C39" s="48">
        <f t="shared" si="11"/>
        <v>1</v>
      </c>
      <c r="D39" s="50">
        <f t="shared" si="12"/>
        <v>0.52134153922648474</v>
      </c>
      <c r="E39" s="51">
        <f t="shared" si="13"/>
        <v>32.076187401872076</v>
      </c>
      <c r="F39" s="48">
        <f t="shared" si="14"/>
        <v>1</v>
      </c>
      <c r="G39" s="50">
        <f t="shared" si="15"/>
        <v>0.53319021057254123</v>
      </c>
      <c r="H39" s="51">
        <f t="shared" si="15"/>
        <v>32.438641702030999</v>
      </c>
      <c r="I39" s="48">
        <f t="shared" si="16"/>
        <v>1</v>
      </c>
      <c r="J39" s="50">
        <f t="shared" si="17"/>
        <v>0.54558998291143757</v>
      </c>
      <c r="K39" s="51">
        <f t="shared" si="18"/>
        <v>32.813667359806303</v>
      </c>
    </row>
    <row r="40" spans="2:11" x14ac:dyDescent="0.3">
      <c r="B40" s="243"/>
      <c r="C40" s="43">
        <f t="shared" si="11"/>
        <v>4</v>
      </c>
      <c r="D40" s="44">
        <f t="shared" si="12"/>
        <v>0.61589320740184661</v>
      </c>
      <c r="E40" s="45">
        <f t="shared" si="13"/>
        <v>34.863764907533863</v>
      </c>
      <c r="F40" s="43">
        <f t="shared" si="14"/>
        <v>4</v>
      </c>
      <c r="G40" s="44">
        <f t="shared" si="15"/>
        <v>0.62989078029734313</v>
      </c>
      <c r="H40" s="45">
        <f t="shared" si="15"/>
        <v>35.25771825841521</v>
      </c>
      <c r="I40" s="43">
        <f t="shared" si="16"/>
        <v>4</v>
      </c>
      <c r="J40" s="44">
        <f t="shared" si="17"/>
        <v>0.64453940309495583</v>
      </c>
      <c r="K40" s="45">
        <f t="shared" si="18"/>
        <v>35.66533547935115</v>
      </c>
    </row>
    <row r="41" spans="2:11" x14ac:dyDescent="0.3">
      <c r="B41" s="244"/>
      <c r="C41" s="40">
        <f t="shared" si="11"/>
        <v>7</v>
      </c>
      <c r="D41" s="42">
        <f t="shared" si="12"/>
        <v>0.64598204160805361</v>
      </c>
      <c r="E41" s="55">
        <f t="shared" si="13"/>
        <v>35.705227088611473</v>
      </c>
      <c r="F41" s="40">
        <f t="shared" si="14"/>
        <v>7</v>
      </c>
      <c r="G41" s="42">
        <f t="shared" si="15"/>
        <v>0.66066345164460039</v>
      </c>
      <c r="H41" s="55">
        <f t="shared" si="15"/>
        <v>36.108688788541031</v>
      </c>
      <c r="I41" s="40">
        <f t="shared" si="16"/>
        <v>7</v>
      </c>
      <c r="J41" s="42">
        <f t="shared" si="17"/>
        <v>0.67602771796191663</v>
      </c>
      <c r="K41" s="55">
        <f t="shared" si="18"/>
        <v>36.526144145911267</v>
      </c>
    </row>
    <row r="42" spans="2:11" x14ac:dyDescent="0.3">
      <c r="B42" s="245" t="s">
        <v>71</v>
      </c>
      <c r="C42" s="52">
        <f t="shared" si="11"/>
        <v>1</v>
      </c>
      <c r="D42" s="53">
        <f t="shared" si="12"/>
        <v>0.3901139419417865</v>
      </c>
      <c r="E42" s="54">
        <f t="shared" si="13"/>
        <v>27.747081701183923</v>
      </c>
      <c r="F42" s="52">
        <f t="shared" si="14"/>
        <v>1</v>
      </c>
      <c r="G42" s="53">
        <f t="shared" si="15"/>
        <v>0.3989801678950089</v>
      </c>
      <c r="H42" s="54">
        <f t="shared" si="15"/>
        <v>28.060618000041814</v>
      </c>
      <c r="I42" s="52">
        <f t="shared" si="16"/>
        <v>1</v>
      </c>
      <c r="J42" s="53">
        <f t="shared" si="17"/>
        <v>0.4082587764507068</v>
      </c>
      <c r="K42" s="54">
        <f t="shared" si="18"/>
        <v>28.385028985548288</v>
      </c>
    </row>
    <row r="43" spans="2:11" x14ac:dyDescent="0.3">
      <c r="B43" s="246"/>
      <c r="C43" s="38">
        <f t="shared" si="11"/>
        <v>4</v>
      </c>
      <c r="D43" s="20">
        <f t="shared" si="12"/>
        <v>0.46196654840829249</v>
      </c>
      <c r="E43" s="41">
        <f t="shared" si="13"/>
        <v>30.194430423518423</v>
      </c>
      <c r="F43" s="38">
        <f t="shared" si="14"/>
        <v>4</v>
      </c>
      <c r="G43" s="20">
        <f t="shared" si="15"/>
        <v>0.47246578814484458</v>
      </c>
      <c r="H43" s="41">
        <f t="shared" si="15"/>
        <v>30.535621258038084</v>
      </c>
      <c r="I43" s="38">
        <f t="shared" si="16"/>
        <v>4</v>
      </c>
      <c r="J43" s="20">
        <f t="shared" si="17"/>
        <v>0.48345336461332938</v>
      </c>
      <c r="K43" s="41">
        <f t="shared" si="18"/>
        <v>30.888645948561926</v>
      </c>
    </row>
    <row r="44" spans="2:11" x14ac:dyDescent="0.3">
      <c r="B44" s="247"/>
      <c r="C44" s="46">
        <f t="shared" si="11"/>
        <v>7</v>
      </c>
      <c r="D44" s="47">
        <f t="shared" si="12"/>
        <v>0.48527888663340618</v>
      </c>
      <c r="E44" s="55">
        <f t="shared" si="13"/>
        <v>30.946908831285196</v>
      </c>
      <c r="F44" s="46">
        <f t="shared" si="14"/>
        <v>7</v>
      </c>
      <c r="G44" s="47">
        <f t="shared" si="15"/>
        <v>0.49630795223871088</v>
      </c>
      <c r="H44" s="55">
        <f t="shared" si="15"/>
        <v>31.29660251657246</v>
      </c>
      <c r="I44" s="46">
        <f t="shared" si="16"/>
        <v>7</v>
      </c>
      <c r="J44" s="47">
        <f t="shared" si="17"/>
        <v>0.50784999763961114</v>
      </c>
      <c r="K44" s="55">
        <f t="shared" si="18"/>
        <v>31.658424970567967</v>
      </c>
    </row>
    <row r="47" spans="2:11" x14ac:dyDescent="0.3">
      <c r="I47" s="240" t="s">
        <v>315</v>
      </c>
      <c r="J47" s="240"/>
    </row>
    <row r="48" spans="2:11" x14ac:dyDescent="0.3">
      <c r="C48" s="191"/>
      <c r="D48" s="191"/>
      <c r="E48" s="191"/>
      <c r="I48" s="240"/>
      <c r="J48" s="240"/>
    </row>
    <row r="49" spans="2:10" x14ac:dyDescent="0.3">
      <c r="B49" s="191"/>
      <c r="I49" s="240" t="s">
        <v>316</v>
      </c>
      <c r="J49" s="240"/>
    </row>
    <row r="50" spans="2:10" x14ac:dyDescent="0.3">
      <c r="B50" s="191"/>
      <c r="I50" s="240"/>
      <c r="J50" s="240"/>
    </row>
    <row r="51" spans="2:10" x14ac:dyDescent="0.3">
      <c r="B51" s="191"/>
      <c r="I51" s="240" t="s">
        <v>317</v>
      </c>
      <c r="J51" s="240"/>
    </row>
    <row r="52" spans="2:10" x14ac:dyDescent="0.3">
      <c r="B52" s="191"/>
      <c r="I52" s="240"/>
      <c r="J52" s="240"/>
    </row>
    <row r="53" spans="2:10" x14ac:dyDescent="0.3">
      <c r="I53" s="240" t="s">
        <v>318</v>
      </c>
      <c r="J53" s="240"/>
    </row>
    <row r="54" spans="2:10" x14ac:dyDescent="0.3">
      <c r="I54" s="240"/>
      <c r="J54" s="240"/>
    </row>
    <row r="55" spans="2:10" x14ac:dyDescent="0.3">
      <c r="I55" s="240" t="s">
        <v>319</v>
      </c>
      <c r="J55" s="240"/>
    </row>
    <row r="56" spans="2:10" x14ac:dyDescent="0.3">
      <c r="I56" s="240"/>
      <c r="J56" s="240"/>
    </row>
    <row r="57" spans="2:10" x14ac:dyDescent="0.3">
      <c r="I57" s="240" t="s">
        <v>320</v>
      </c>
      <c r="J57" s="240"/>
    </row>
    <row r="58" spans="2:10" x14ac:dyDescent="0.3">
      <c r="I58" s="240"/>
      <c r="J58" s="240"/>
    </row>
  </sheetData>
  <mergeCells count="24">
    <mergeCell ref="I57:J58"/>
    <mergeCell ref="I55:J56"/>
    <mergeCell ref="I53:J54"/>
    <mergeCell ref="I51:J52"/>
    <mergeCell ref="I49:J50"/>
    <mergeCell ref="I47:J48"/>
    <mergeCell ref="B30:K30"/>
    <mergeCell ref="B39:B41"/>
    <mergeCell ref="B42:B44"/>
    <mergeCell ref="C31:E31"/>
    <mergeCell ref="F31:H31"/>
    <mergeCell ref="I31:K31"/>
    <mergeCell ref="B33:B35"/>
    <mergeCell ref="B36:B38"/>
    <mergeCell ref="B25:B27"/>
    <mergeCell ref="B2:S2"/>
    <mergeCell ref="B14:I14"/>
    <mergeCell ref="I16:I18"/>
    <mergeCell ref="I19:I21"/>
    <mergeCell ref="I22:I24"/>
    <mergeCell ref="I25:I27"/>
    <mergeCell ref="B16:B18"/>
    <mergeCell ref="B19:B21"/>
    <mergeCell ref="B22:B24"/>
  </mergeCells>
  <pageMargins left="0.7" right="0.7" top="0.75" bottom="0.75" header="0.3" footer="0.3"/>
  <pageSetup orientation="portrait" r:id="rId1"/>
  <ignoredErrors>
    <ignoredError sqref="O4:S4 B4:M4 D5" calculatedColumn="1"/>
  </ignoredErrors>
  <drawing r:id="rId2"/>
  <legacyDrawing r:id="rId3"/>
  <tableParts count="1">
    <tablePart r:id="rId4"/>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8FF54-7660-4C01-AB45-45DB6128689E}">
  <dimension ref="B2:P82"/>
  <sheetViews>
    <sheetView zoomScale="80" zoomScaleNormal="80" workbookViewId="0"/>
  </sheetViews>
  <sheetFormatPr defaultRowHeight="14.4" x14ac:dyDescent="0.3"/>
  <cols>
    <col min="1" max="1" width="8.88671875" style="184"/>
    <col min="2" max="2" width="11.77734375" style="184" customWidth="1"/>
    <col min="3" max="3" width="13.21875" style="184" customWidth="1"/>
    <col min="4" max="4" width="13" style="184" customWidth="1"/>
    <col min="5" max="5" width="15.6640625" style="184" customWidth="1"/>
    <col min="6" max="6" width="19.44140625" style="184" customWidth="1"/>
    <col min="7" max="7" width="13.33203125" style="184" customWidth="1"/>
    <col min="8" max="8" width="15.6640625" style="184" customWidth="1"/>
    <col min="9" max="9" width="20" style="184" customWidth="1"/>
    <col min="10" max="10" width="15.5546875" style="184" customWidth="1"/>
    <col min="11" max="11" width="19.88671875" style="184" customWidth="1"/>
    <col min="12" max="12" width="10.109375" style="184" customWidth="1"/>
    <col min="13" max="13" width="16.77734375" style="184" customWidth="1"/>
    <col min="14" max="14" width="18.44140625" style="184" customWidth="1"/>
    <col min="15" max="15" width="15.109375" style="184" customWidth="1"/>
    <col min="16" max="16" width="18.33203125" style="184" customWidth="1"/>
    <col min="17" max="17" width="14.77734375" style="184" customWidth="1"/>
    <col min="18" max="16384" width="8.88671875" style="184"/>
  </cols>
  <sheetData>
    <row r="2" spans="2:12" ht="15.6" x14ac:dyDescent="0.3">
      <c r="B2" s="216" t="s">
        <v>116</v>
      </c>
      <c r="C2" s="217"/>
      <c r="D2" s="217"/>
      <c r="E2" s="217"/>
      <c r="F2" s="217"/>
      <c r="G2" s="217"/>
      <c r="H2" s="217"/>
      <c r="I2" s="218"/>
      <c r="K2" s="202" t="s">
        <v>308</v>
      </c>
      <c r="L2" s="203">
        <f>1/0.35</f>
        <v>2.8571428571428572</v>
      </c>
    </row>
    <row r="3" spans="2:12" x14ac:dyDescent="0.3">
      <c r="B3" s="62"/>
      <c r="C3" s="63"/>
      <c r="D3" s="275" t="s">
        <v>95</v>
      </c>
      <c r="E3" s="276"/>
      <c r="F3" s="275" t="s">
        <v>97</v>
      </c>
      <c r="G3" s="276"/>
      <c r="H3" s="275" t="s">
        <v>96</v>
      </c>
      <c r="I3" s="276"/>
    </row>
    <row r="4" spans="2:12" ht="15.6" x14ac:dyDescent="0.3">
      <c r="B4" s="48" t="s">
        <v>65</v>
      </c>
      <c r="C4" s="49" t="s">
        <v>102</v>
      </c>
      <c r="D4" s="38" t="s">
        <v>103</v>
      </c>
      <c r="E4" s="39" t="s">
        <v>105</v>
      </c>
      <c r="F4" s="38" t="s">
        <v>106</v>
      </c>
      <c r="G4" s="39" t="s">
        <v>108</v>
      </c>
      <c r="H4" s="38" t="s">
        <v>107</v>
      </c>
      <c r="I4" s="39" t="s">
        <v>109</v>
      </c>
    </row>
    <row r="5" spans="2:12" ht="16.2" x14ac:dyDescent="0.3">
      <c r="B5" s="38" t="s">
        <v>66</v>
      </c>
      <c r="C5" s="39" t="s">
        <v>104</v>
      </c>
      <c r="D5" s="38" t="s">
        <v>104</v>
      </c>
      <c r="E5" s="39" t="s">
        <v>66</v>
      </c>
      <c r="F5" s="38" t="s">
        <v>104</v>
      </c>
      <c r="G5" s="39" t="s">
        <v>66</v>
      </c>
      <c r="H5" s="38" t="s">
        <v>104</v>
      </c>
      <c r="I5" s="39" t="s">
        <v>66</v>
      </c>
    </row>
    <row r="6" spans="2:12" x14ac:dyDescent="0.3">
      <c r="B6" s="56">
        <f>32*0.0254</f>
        <v>0.81279999999999997</v>
      </c>
      <c r="C6" s="57">
        <f>(B6^2)*PI()/4</f>
        <v>0.51886845859583763</v>
      </c>
      <c r="D6" s="58">
        <f>0.1*C6</f>
        <v>5.1886845859583766E-2</v>
      </c>
      <c r="E6" s="57">
        <f>B6*0.727</f>
        <v>0.59090559999999992</v>
      </c>
      <c r="F6" s="58">
        <f>0.12*C6</f>
        <v>6.2264215031500515E-2</v>
      </c>
      <c r="G6" s="57">
        <f>0.762*B6</f>
        <v>0.61935359999999995</v>
      </c>
      <c r="H6" s="58">
        <f>0.14*C6</f>
        <v>7.2641584203417278E-2</v>
      </c>
      <c r="I6" s="57">
        <f>0.784*B6</f>
        <v>0.6372352</v>
      </c>
    </row>
    <row r="7" spans="2:12" x14ac:dyDescent="0.3">
      <c r="B7" s="56">
        <f>36*0.0254</f>
        <v>0.91439999999999999</v>
      </c>
      <c r="C7" s="57">
        <f t="shared" ref="C7:C9" si="0">(B7^2)*PI()/4</f>
        <v>0.65669289291035704</v>
      </c>
      <c r="D7" s="58">
        <f t="shared" ref="D7:D9" si="1">0.1*C7</f>
        <v>6.5669289291035701E-2</v>
      </c>
      <c r="E7" s="57">
        <f t="shared" ref="E7:E9" si="2">B7*0.727</f>
        <v>0.66476879999999994</v>
      </c>
      <c r="F7" s="58">
        <f t="shared" ref="F7:F9" si="3">0.12*C7</f>
        <v>7.8803147149242844E-2</v>
      </c>
      <c r="G7" s="57">
        <f t="shared" ref="G7:G9" si="4">0.762*B7</f>
        <v>0.69677279999999997</v>
      </c>
      <c r="H7" s="58">
        <f t="shared" ref="H7:H9" si="5">0.14*C7</f>
        <v>9.1937005007450001E-2</v>
      </c>
      <c r="I7" s="57">
        <f t="shared" ref="I7:I9" si="6">0.784*B7</f>
        <v>0.71688960000000002</v>
      </c>
    </row>
    <row r="8" spans="2:12" x14ac:dyDescent="0.3">
      <c r="B8" s="56">
        <f>40*0.0254</f>
        <v>1.016</v>
      </c>
      <c r="C8" s="57">
        <f t="shared" si="0"/>
        <v>0.81073196655599644</v>
      </c>
      <c r="D8" s="58">
        <f t="shared" si="1"/>
        <v>8.1073196655599644E-2</v>
      </c>
      <c r="E8" s="57">
        <f t="shared" si="2"/>
        <v>0.73863199999999996</v>
      </c>
      <c r="F8" s="58">
        <f t="shared" si="3"/>
        <v>9.728783598671957E-2</v>
      </c>
      <c r="G8" s="57">
        <f t="shared" si="4"/>
        <v>0.77419199999999999</v>
      </c>
      <c r="H8" s="58">
        <f t="shared" si="5"/>
        <v>0.11350247531783951</v>
      </c>
      <c r="I8" s="57">
        <f t="shared" si="6"/>
        <v>0.79654400000000003</v>
      </c>
    </row>
    <row r="9" spans="2:12" x14ac:dyDescent="0.3">
      <c r="B9" s="59">
        <f>46*0.0254</f>
        <v>1.1683999999999999</v>
      </c>
      <c r="C9" s="60">
        <f t="shared" si="0"/>
        <v>1.072193025770305</v>
      </c>
      <c r="D9" s="61">
        <f t="shared" si="1"/>
        <v>0.1072193025770305</v>
      </c>
      <c r="E9" s="60">
        <f t="shared" si="2"/>
        <v>0.84942679999999993</v>
      </c>
      <c r="F9" s="61">
        <f t="shared" si="3"/>
        <v>0.12866316309243658</v>
      </c>
      <c r="G9" s="60">
        <f t="shared" si="4"/>
        <v>0.89032079999999991</v>
      </c>
      <c r="H9" s="61">
        <f t="shared" si="5"/>
        <v>0.1501070236078427</v>
      </c>
      <c r="I9" s="60">
        <f t="shared" si="6"/>
        <v>0.9160256</v>
      </c>
    </row>
    <row r="11" spans="2:12" ht="15" thickBot="1" x14ac:dyDescent="0.35"/>
    <row r="12" spans="2:12" ht="19.2" customHeight="1" x14ac:dyDescent="0.3">
      <c r="B12" s="283" t="s">
        <v>115</v>
      </c>
      <c r="C12" s="284"/>
      <c r="D12" s="285"/>
      <c r="E12" s="285"/>
      <c r="F12" s="285"/>
      <c r="G12" s="285"/>
      <c r="H12" s="285"/>
      <c r="I12" s="286"/>
    </row>
    <row r="13" spans="2:12" x14ac:dyDescent="0.3">
      <c r="B13" s="289"/>
      <c r="C13" s="287" t="s">
        <v>114</v>
      </c>
      <c r="D13" s="303" t="s">
        <v>95</v>
      </c>
      <c r="E13" s="304"/>
      <c r="F13" s="305" t="s">
        <v>97</v>
      </c>
      <c r="G13" s="304"/>
      <c r="H13" s="305" t="s">
        <v>96</v>
      </c>
      <c r="I13" s="306"/>
    </row>
    <row r="14" spans="2:12" ht="18.600000000000001" customHeight="1" thickBot="1" x14ac:dyDescent="0.35">
      <c r="B14" s="290"/>
      <c r="C14" s="288"/>
      <c r="D14" s="77" t="s">
        <v>117</v>
      </c>
      <c r="E14" s="78" t="s">
        <v>118</v>
      </c>
      <c r="F14" s="77" t="s">
        <v>117</v>
      </c>
      <c r="G14" s="79" t="s">
        <v>118</v>
      </c>
      <c r="H14" s="64" t="s">
        <v>117</v>
      </c>
      <c r="I14" s="86" t="s">
        <v>118</v>
      </c>
    </row>
    <row r="15" spans="2:12" ht="14.4" customHeight="1" x14ac:dyDescent="0.3">
      <c r="B15" s="280" t="s">
        <v>110</v>
      </c>
      <c r="C15" s="69">
        <v>13</v>
      </c>
      <c r="D15" s="277">
        <f>C6-2*D6</f>
        <v>0.41509476687667013</v>
      </c>
      <c r="E15" s="70">
        <f>D15/100*C15</f>
        <v>5.3962319693967115E-2</v>
      </c>
      <c r="F15" s="277">
        <f>C6-2*F6</f>
        <v>0.39434002853283662</v>
      </c>
      <c r="G15" s="80">
        <f>F15/100*C15</f>
        <v>5.1264203709268763E-2</v>
      </c>
      <c r="H15" s="307">
        <f>C6-2*H6</f>
        <v>0.37358529018900311</v>
      </c>
      <c r="I15" s="87">
        <f>H15/100*C15</f>
        <v>4.8566087724570405E-2</v>
      </c>
    </row>
    <row r="16" spans="2:12" ht="20.399999999999999" customHeight="1" x14ac:dyDescent="0.3">
      <c r="B16" s="281"/>
      <c r="C16" s="67">
        <v>10</v>
      </c>
      <c r="D16" s="278"/>
      <c r="E16" s="68">
        <f>D15/100*C16</f>
        <v>4.150947668766701E-2</v>
      </c>
      <c r="F16" s="278"/>
      <c r="G16" s="81">
        <f>F15/100*C16</f>
        <v>3.9434002853283662E-2</v>
      </c>
      <c r="H16" s="301"/>
      <c r="I16" s="88">
        <f>H15/100*C16</f>
        <v>3.7358529018900313E-2</v>
      </c>
    </row>
    <row r="17" spans="2:16" ht="14.4" customHeight="1" thickBot="1" x14ac:dyDescent="0.35">
      <c r="B17" s="282"/>
      <c r="C17" s="71">
        <v>7</v>
      </c>
      <c r="D17" s="279"/>
      <c r="E17" s="72">
        <f>D15/100*C17</f>
        <v>2.9056633681366909E-2</v>
      </c>
      <c r="F17" s="279"/>
      <c r="G17" s="82">
        <f>F15/100*C17</f>
        <v>2.7603801997298567E-2</v>
      </c>
      <c r="H17" s="302"/>
      <c r="I17" s="89">
        <f>H15/100*C17</f>
        <v>2.6150970313230215E-2</v>
      </c>
    </row>
    <row r="18" spans="2:16" ht="14.4" customHeight="1" x14ac:dyDescent="0.3">
      <c r="B18" s="280" t="s">
        <v>111</v>
      </c>
      <c r="C18" s="73">
        <v>13</v>
      </c>
      <c r="D18" s="291">
        <f>C7-2*D7</f>
        <v>0.52535431432828561</v>
      </c>
      <c r="E18" s="74">
        <f>$D$18/100*C18</f>
        <v>6.829606086267713E-2</v>
      </c>
      <c r="F18" s="294">
        <f>C7-2*F7</f>
        <v>0.49908659861187132</v>
      </c>
      <c r="G18" s="83">
        <f>$F$18/100*C18</f>
        <v>6.4881257819543278E-2</v>
      </c>
      <c r="H18" s="297">
        <f>C7-2*H7</f>
        <v>0.47281888289545704</v>
      </c>
      <c r="I18" s="90">
        <f>$H$18/100*C18</f>
        <v>6.1466454776409413E-2</v>
      </c>
      <c r="L18" s="3"/>
    </row>
    <row r="19" spans="2:16" ht="21" customHeight="1" x14ac:dyDescent="0.3">
      <c r="B19" s="281"/>
      <c r="C19" s="65">
        <v>10</v>
      </c>
      <c r="D19" s="292"/>
      <c r="E19" s="66">
        <f t="shared" ref="E19:E20" si="7">$D$18/100*C19</f>
        <v>5.2535431432828565E-2</v>
      </c>
      <c r="F19" s="295"/>
      <c r="G19" s="84">
        <f t="shared" ref="G19:G20" si="8">$F$18/100*C19</f>
        <v>4.990865986118713E-2</v>
      </c>
      <c r="H19" s="298"/>
      <c r="I19" s="91">
        <f t="shared" ref="I19:I20" si="9">$H$18/100*C19</f>
        <v>4.7281888289545701E-2</v>
      </c>
      <c r="K19" s="3"/>
      <c r="L19" s="3"/>
    </row>
    <row r="20" spans="2:16" ht="14.4" customHeight="1" thickBot="1" x14ac:dyDescent="0.35">
      <c r="B20" s="282"/>
      <c r="C20" s="75">
        <v>7</v>
      </c>
      <c r="D20" s="293"/>
      <c r="E20" s="76">
        <f t="shared" si="7"/>
        <v>3.6774802002979994E-2</v>
      </c>
      <c r="F20" s="296"/>
      <c r="G20" s="85">
        <f t="shared" si="8"/>
        <v>3.4936061902830995E-2</v>
      </c>
      <c r="H20" s="299"/>
      <c r="I20" s="92">
        <f t="shared" si="9"/>
        <v>3.3097321802681989E-2</v>
      </c>
      <c r="K20" s="3"/>
      <c r="L20" s="3"/>
    </row>
    <row r="21" spans="2:16" ht="14.4" customHeight="1" x14ac:dyDescent="0.3">
      <c r="B21" s="280" t="s">
        <v>112</v>
      </c>
      <c r="C21" s="69">
        <v>13</v>
      </c>
      <c r="D21" s="277">
        <f>C8-2*D8</f>
        <v>0.64858557324479715</v>
      </c>
      <c r="E21" s="70">
        <f>$D$21/100*C21</f>
        <v>8.4316124521823632E-2</v>
      </c>
      <c r="F21" s="277">
        <f>C8-2*F8</f>
        <v>0.61615629458255727</v>
      </c>
      <c r="G21" s="80">
        <f>$F$21/100*C21</f>
        <v>8.0100318295732442E-2</v>
      </c>
      <c r="H21" s="300">
        <f>C8-2*H8</f>
        <v>0.58372701592031739</v>
      </c>
      <c r="I21" s="93">
        <f>$H$21/100*C21</f>
        <v>7.5884512069641252E-2</v>
      </c>
      <c r="K21" s="3"/>
      <c r="L21" s="3"/>
    </row>
    <row r="22" spans="2:16" ht="22.2" customHeight="1" x14ac:dyDescent="0.3">
      <c r="B22" s="281"/>
      <c r="C22" s="67">
        <v>10</v>
      </c>
      <c r="D22" s="278"/>
      <c r="E22" s="68">
        <f t="shared" ref="E22:E23" si="10">$D$21/100*C22</f>
        <v>6.4858557324479718E-2</v>
      </c>
      <c r="F22" s="278"/>
      <c r="G22" s="81">
        <f t="shared" ref="G22:G23" si="11">$F$21/100*C22</f>
        <v>6.161562945825573E-2</v>
      </c>
      <c r="H22" s="301"/>
      <c r="I22" s="88">
        <f t="shared" ref="I22:I23" si="12">$H$21/100*C22</f>
        <v>5.8372701592031735E-2</v>
      </c>
      <c r="K22" s="3"/>
      <c r="L22" s="3"/>
    </row>
    <row r="23" spans="2:16" ht="14.4" customHeight="1" thickBot="1" x14ac:dyDescent="0.35">
      <c r="B23" s="282"/>
      <c r="C23" s="71">
        <v>7</v>
      </c>
      <c r="D23" s="279"/>
      <c r="E23" s="72">
        <f t="shared" si="10"/>
        <v>4.5400990127135804E-2</v>
      </c>
      <c r="F23" s="279"/>
      <c r="G23" s="82">
        <f t="shared" si="11"/>
        <v>4.3130940620779011E-2</v>
      </c>
      <c r="H23" s="302"/>
      <c r="I23" s="89">
        <f t="shared" si="12"/>
        <v>4.0860891114422218E-2</v>
      </c>
      <c r="K23" s="3"/>
      <c r="L23" s="3"/>
    </row>
    <row r="24" spans="2:16" ht="14.4" customHeight="1" x14ac:dyDescent="0.3">
      <c r="B24" s="280" t="s">
        <v>113</v>
      </c>
      <c r="C24" s="73">
        <v>13</v>
      </c>
      <c r="D24" s="291">
        <f>C9-2*D9</f>
        <v>0.85775442061624396</v>
      </c>
      <c r="E24" s="74">
        <f>$D$24/100*C24</f>
        <v>0.1115080746801117</v>
      </c>
      <c r="F24" s="294">
        <f>C9-2*F9</f>
        <v>0.81486669958543179</v>
      </c>
      <c r="G24" s="83">
        <f>$F$24/100*C24</f>
        <v>0.10593267094610613</v>
      </c>
      <c r="H24" s="297">
        <f>C9-2*H9</f>
        <v>0.77197897855461961</v>
      </c>
      <c r="I24" s="90">
        <f>$H$24/100*C24</f>
        <v>0.10035726721210055</v>
      </c>
    </row>
    <row r="25" spans="2:16" ht="20.399999999999999" customHeight="1" x14ac:dyDescent="0.3">
      <c r="B25" s="281"/>
      <c r="C25" s="65">
        <v>10</v>
      </c>
      <c r="D25" s="292"/>
      <c r="E25" s="66">
        <f t="shared" ref="E25:E26" si="13">$D$24/100*C25</f>
        <v>8.5775442061624393E-2</v>
      </c>
      <c r="F25" s="295"/>
      <c r="G25" s="84">
        <f t="shared" ref="G25:G26" si="14">$F$24/100*C25</f>
        <v>8.1486669958543173E-2</v>
      </c>
      <c r="H25" s="298"/>
      <c r="I25" s="91">
        <f t="shared" ref="I25:I26" si="15">$H$24/100*C25</f>
        <v>7.7197897855461967E-2</v>
      </c>
    </row>
    <row r="26" spans="2:16" ht="15" thickBot="1" x14ac:dyDescent="0.35">
      <c r="B26" s="282"/>
      <c r="C26" s="75">
        <v>7</v>
      </c>
      <c r="D26" s="293"/>
      <c r="E26" s="76">
        <f t="shared" si="13"/>
        <v>6.0042809443137071E-2</v>
      </c>
      <c r="F26" s="296"/>
      <c r="G26" s="85">
        <f t="shared" si="14"/>
        <v>5.7040668970980229E-2</v>
      </c>
      <c r="H26" s="299"/>
      <c r="I26" s="92">
        <f t="shared" si="15"/>
        <v>5.4038528498823374E-2</v>
      </c>
    </row>
    <row r="27" spans="2:16" x14ac:dyDescent="0.3">
      <c r="G27" s="205"/>
      <c r="H27" s="205"/>
      <c r="I27" s="205"/>
      <c r="J27" s="3"/>
    </row>
    <row r="29" spans="2:16" ht="19.8" customHeight="1" thickBot="1" x14ac:dyDescent="0.35">
      <c r="B29" s="274" t="s">
        <v>324</v>
      </c>
      <c r="C29" s="274"/>
      <c r="D29" s="274"/>
      <c r="E29" s="274"/>
      <c r="F29" s="274"/>
      <c r="G29" s="274"/>
      <c r="H29" s="274"/>
      <c r="I29" s="274"/>
      <c r="J29" s="274"/>
      <c r="K29" s="274"/>
      <c r="L29" s="274"/>
      <c r="M29" s="274"/>
      <c r="N29" s="274"/>
      <c r="O29" s="204"/>
      <c r="P29" s="204"/>
    </row>
    <row r="30" spans="2:16" x14ac:dyDescent="0.3">
      <c r="B30" s="97"/>
      <c r="C30" s="98"/>
      <c r="D30" s="98"/>
      <c r="E30" s="108"/>
      <c r="F30" s="268" t="s">
        <v>119</v>
      </c>
      <c r="G30" s="269"/>
      <c r="H30" s="269"/>
      <c r="I30" s="269"/>
      <c r="J30" s="270"/>
      <c r="K30" s="271" t="s">
        <v>120</v>
      </c>
      <c r="L30" s="272"/>
      <c r="M30" s="272"/>
      <c r="N30" s="273"/>
      <c r="O30" s="204"/>
      <c r="P30" s="204"/>
    </row>
    <row r="31" spans="2:16" ht="15.6" x14ac:dyDescent="0.3">
      <c r="B31" s="64"/>
      <c r="C31" s="99" t="s">
        <v>114</v>
      </c>
      <c r="D31" s="99" t="s">
        <v>123</v>
      </c>
      <c r="E31" s="99" t="s">
        <v>124</v>
      </c>
      <c r="F31" s="95" t="s">
        <v>125</v>
      </c>
      <c r="G31" s="94" t="s">
        <v>121</v>
      </c>
      <c r="H31" s="94" t="s">
        <v>306</v>
      </c>
      <c r="I31" s="94" t="s">
        <v>307</v>
      </c>
      <c r="J31" s="96" t="s">
        <v>122</v>
      </c>
      <c r="K31" s="95" t="s">
        <v>125</v>
      </c>
      <c r="L31" s="94" t="s">
        <v>121</v>
      </c>
      <c r="M31" s="94" t="s">
        <v>306</v>
      </c>
      <c r="N31" s="96" t="s">
        <v>122</v>
      </c>
    </row>
    <row r="32" spans="2:16" ht="14.4" customHeight="1" x14ac:dyDescent="0.3">
      <c r="B32" s="252" t="s">
        <v>99</v>
      </c>
      <c r="C32" s="100">
        <f>C15</f>
        <v>13</v>
      </c>
      <c r="D32" s="253">
        <f>('Diameter Calc.'!N11/'Plate Design Part I'!E6)^(2/3) * 1000</f>
        <v>62.931992782444766</v>
      </c>
      <c r="E32" s="254">
        <f>('Diameter Calc.'!N11/'Plate Design Part I'!E6*0.35)^(2/3) * 1000</f>
        <v>31.254808844185153</v>
      </c>
      <c r="F32" s="255">
        <f>2*25.4+E32</f>
        <v>82.054808844185146</v>
      </c>
      <c r="G32" s="257">
        <v>30.7</v>
      </c>
      <c r="H32" s="260">
        <f>(G32-0.9*(25.4-12.7))/'Diameter Calc.'!$F$11</f>
        <v>6.8578952987650812</v>
      </c>
      <c r="I32" s="106">
        <f>0.35 * 'Diameter Calc.'!$O$11/'Plate Design Part I'!E15</f>
        <v>11.37639197937574</v>
      </c>
      <c r="J32" s="104">
        <f>I32-$H$32</f>
        <v>4.5184966806106583</v>
      </c>
      <c r="K32" s="255">
        <f>3*25.4 + E32</f>
        <v>107.45480884418514</v>
      </c>
      <c r="L32" s="263">
        <v>31.1</v>
      </c>
      <c r="M32" s="260">
        <f>(L32-0.9*(25.4-12.7))/'Diameter Calc.'!$F$11</f>
        <v>7.000249119185737</v>
      </c>
      <c r="N32" s="104">
        <f>I32-$M$32</f>
        <v>4.3761428601900025</v>
      </c>
    </row>
    <row r="33" spans="2:14" x14ac:dyDescent="0.3">
      <c r="B33" s="252"/>
      <c r="C33" s="101">
        <f t="shared" ref="C33:C40" si="16">C16</f>
        <v>10</v>
      </c>
      <c r="D33" s="253"/>
      <c r="E33" s="254"/>
      <c r="F33" s="255"/>
      <c r="G33" s="258"/>
      <c r="H33" s="261"/>
      <c r="I33" s="106">
        <f>0.35 * 'Diameter Calc.'!$O$11/'Plate Design Part I'!E16</f>
        <v>14.789309573188461</v>
      </c>
      <c r="J33" s="104">
        <f t="shared" ref="J33:J34" si="17">I33-$H$32</f>
        <v>7.9314142744233802</v>
      </c>
      <c r="K33" s="255"/>
      <c r="L33" s="264"/>
      <c r="M33" s="261"/>
      <c r="N33" s="104">
        <f t="shared" ref="N33:N40" si="18">I33-$M$32</f>
        <v>7.7890604540027244</v>
      </c>
    </row>
    <row r="34" spans="2:14" x14ac:dyDescent="0.3">
      <c r="B34" s="252"/>
      <c r="C34" s="100">
        <f t="shared" si="16"/>
        <v>7</v>
      </c>
      <c r="D34" s="253"/>
      <c r="E34" s="254"/>
      <c r="F34" s="255"/>
      <c r="G34" s="258"/>
      <c r="H34" s="261"/>
      <c r="I34" s="106">
        <f>0.35 * 'Diameter Calc.'!$O$11/'Plate Design Part I'!E17</f>
        <v>21.127585104554942</v>
      </c>
      <c r="J34" s="104">
        <f t="shared" si="17"/>
        <v>14.269689805789861</v>
      </c>
      <c r="K34" s="255"/>
      <c r="L34" s="264"/>
      <c r="M34" s="261"/>
      <c r="N34" s="104">
        <f t="shared" si="18"/>
        <v>14.127335985369205</v>
      </c>
    </row>
    <row r="35" spans="2:14" ht="14.4" customHeight="1" x14ac:dyDescent="0.3">
      <c r="B35" s="252" t="s">
        <v>100</v>
      </c>
      <c r="C35" s="101">
        <f t="shared" si="16"/>
        <v>13</v>
      </c>
      <c r="D35" s="266">
        <f>('Diameter Calc.'!N11/G6)^(2/3) * 1000</f>
        <v>60.989879765218994</v>
      </c>
      <c r="E35" s="267">
        <f>('Diameter Calc.'!N11/G6*0.35)^(2/3) * 1000</f>
        <v>30.290269689719867</v>
      </c>
      <c r="F35" s="251">
        <f t="shared" ref="F35:F38" si="19">2*25.4+E35</f>
        <v>81.090269689719861</v>
      </c>
      <c r="G35" s="258"/>
      <c r="H35" s="261"/>
      <c r="I35" s="105">
        <f>0.35 * 'Diameter Calc.'!$O$11/G15</f>
        <v>11.975149451974461</v>
      </c>
      <c r="J35" s="104">
        <f>I35-$H$32</f>
        <v>5.1172541532093803</v>
      </c>
      <c r="K35" s="251">
        <f>3*25.4 + E35</f>
        <v>106.49026968971985</v>
      </c>
      <c r="L35" s="264"/>
      <c r="M35" s="261"/>
      <c r="N35" s="104">
        <f t="shared" si="18"/>
        <v>4.9749003327887245</v>
      </c>
    </row>
    <row r="36" spans="2:14" x14ac:dyDescent="0.3">
      <c r="B36" s="252"/>
      <c r="C36" s="100">
        <f t="shared" si="16"/>
        <v>10</v>
      </c>
      <c r="D36" s="266"/>
      <c r="E36" s="267"/>
      <c r="F36" s="251"/>
      <c r="G36" s="258"/>
      <c r="H36" s="261"/>
      <c r="I36" s="105">
        <f>0.35 * 'Diameter Calc.'!$O$11/G16</f>
        <v>15.5676942875668</v>
      </c>
      <c r="J36" s="104">
        <f t="shared" ref="J36:J40" si="20">I36-$H$32</f>
        <v>8.7097989888017189</v>
      </c>
      <c r="K36" s="251"/>
      <c r="L36" s="264"/>
      <c r="M36" s="261"/>
      <c r="N36" s="104">
        <f t="shared" si="18"/>
        <v>8.5674451683810631</v>
      </c>
    </row>
    <row r="37" spans="2:14" x14ac:dyDescent="0.3">
      <c r="B37" s="252"/>
      <c r="C37" s="101">
        <f t="shared" si="16"/>
        <v>7</v>
      </c>
      <c r="D37" s="266"/>
      <c r="E37" s="267"/>
      <c r="F37" s="251"/>
      <c r="G37" s="258"/>
      <c r="H37" s="261"/>
      <c r="I37" s="105">
        <f>0.35 * 'Diameter Calc.'!$O$11/G17</f>
        <v>22.239563267952569</v>
      </c>
      <c r="J37" s="104">
        <f t="shared" si="20"/>
        <v>15.381667969187488</v>
      </c>
      <c r="K37" s="251"/>
      <c r="L37" s="264"/>
      <c r="M37" s="261"/>
      <c r="N37" s="104">
        <f t="shared" si="18"/>
        <v>15.239314148766832</v>
      </c>
    </row>
    <row r="38" spans="2:14" ht="14.4" customHeight="1" x14ac:dyDescent="0.3">
      <c r="B38" s="252" t="s">
        <v>101</v>
      </c>
      <c r="C38" s="100">
        <f t="shared" si="16"/>
        <v>13</v>
      </c>
      <c r="D38" s="253">
        <f>('Diameter Calc.'!N11/I6)^(2/3) * 1000</f>
        <v>59.843508810050011</v>
      </c>
      <c r="E38" s="254">
        <f>('Diameter Calc.'!N11/I6*0.35)^(2/3) * 1000</f>
        <v>29.720931210447578</v>
      </c>
      <c r="F38" s="255">
        <f t="shared" si="19"/>
        <v>80.520931210447571</v>
      </c>
      <c r="G38" s="258"/>
      <c r="H38" s="261"/>
      <c r="I38" s="106">
        <f>0.35 * 'Diameter Calc.'!$O$11/I15</f>
        <v>12.64043553263971</v>
      </c>
      <c r="J38" s="104">
        <f t="shared" si="20"/>
        <v>5.782540233874629</v>
      </c>
      <c r="K38" s="255">
        <f>3*25.4 + E38</f>
        <v>105.92093121044756</v>
      </c>
      <c r="L38" s="264"/>
      <c r="M38" s="261"/>
      <c r="N38" s="104">
        <f t="shared" si="18"/>
        <v>5.6401864134539732</v>
      </c>
    </row>
    <row r="39" spans="2:14" x14ac:dyDescent="0.3">
      <c r="B39" s="252"/>
      <c r="C39" s="101">
        <f t="shared" si="16"/>
        <v>10</v>
      </c>
      <c r="D39" s="253"/>
      <c r="E39" s="254"/>
      <c r="F39" s="255"/>
      <c r="G39" s="258"/>
      <c r="H39" s="261"/>
      <c r="I39" s="106">
        <f>0.35 * 'Diameter Calc.'!$O$11/I16</f>
        <v>16.432566192431622</v>
      </c>
      <c r="J39" s="104">
        <f t="shared" si="20"/>
        <v>9.574670893666541</v>
      </c>
      <c r="K39" s="255"/>
      <c r="L39" s="264"/>
      <c r="M39" s="261"/>
      <c r="N39" s="104">
        <f t="shared" si="18"/>
        <v>9.4323170732458852</v>
      </c>
    </row>
    <row r="40" spans="2:14" ht="15" thickBot="1" x14ac:dyDescent="0.35">
      <c r="B40" s="252"/>
      <c r="C40" s="100">
        <f t="shared" si="16"/>
        <v>7</v>
      </c>
      <c r="D40" s="253"/>
      <c r="E40" s="254"/>
      <c r="F40" s="256"/>
      <c r="G40" s="259"/>
      <c r="H40" s="262"/>
      <c r="I40" s="109">
        <f>0.35 * 'Diameter Calc.'!$O$11/I17</f>
        <v>23.475094560616604</v>
      </c>
      <c r="J40" s="110">
        <f t="shared" si="20"/>
        <v>16.617199261851525</v>
      </c>
      <c r="K40" s="256"/>
      <c r="L40" s="265"/>
      <c r="M40" s="262"/>
      <c r="N40" s="110">
        <f t="shared" si="18"/>
        <v>16.474845441430865</v>
      </c>
    </row>
    <row r="43" spans="2:14" ht="16.2" thickBot="1" x14ac:dyDescent="0.35">
      <c r="B43" s="274" t="s">
        <v>325</v>
      </c>
      <c r="C43" s="274"/>
      <c r="D43" s="274"/>
      <c r="E43" s="274"/>
      <c r="F43" s="274"/>
      <c r="G43" s="274"/>
      <c r="H43" s="274"/>
      <c r="I43" s="274"/>
      <c r="J43" s="274"/>
      <c r="K43" s="274"/>
      <c r="L43" s="274"/>
      <c r="M43" s="274"/>
      <c r="N43" s="274"/>
    </row>
    <row r="44" spans="2:14" x14ac:dyDescent="0.3">
      <c r="B44" s="97"/>
      <c r="C44" s="98"/>
      <c r="D44" s="98"/>
      <c r="E44" s="108"/>
      <c r="F44" s="268" t="s">
        <v>119</v>
      </c>
      <c r="G44" s="269"/>
      <c r="H44" s="269"/>
      <c r="I44" s="269"/>
      <c r="J44" s="270"/>
      <c r="K44" s="271" t="s">
        <v>120</v>
      </c>
      <c r="L44" s="272"/>
      <c r="M44" s="272"/>
      <c r="N44" s="273"/>
    </row>
    <row r="45" spans="2:14" ht="15.6" x14ac:dyDescent="0.3">
      <c r="B45" s="64"/>
      <c r="C45" s="99" t="s">
        <v>114</v>
      </c>
      <c r="D45" s="207" t="s">
        <v>123</v>
      </c>
      <c r="E45" s="207" t="s">
        <v>124</v>
      </c>
      <c r="F45" s="95" t="s">
        <v>125</v>
      </c>
      <c r="G45" s="208" t="s">
        <v>121</v>
      </c>
      <c r="H45" s="208" t="s">
        <v>306</v>
      </c>
      <c r="I45" s="208" t="s">
        <v>307</v>
      </c>
      <c r="J45" s="96" t="s">
        <v>122</v>
      </c>
      <c r="K45" s="95" t="s">
        <v>125</v>
      </c>
      <c r="L45" s="208" t="s">
        <v>121</v>
      </c>
      <c r="M45" s="208" t="s">
        <v>306</v>
      </c>
      <c r="N45" s="96" t="s">
        <v>122</v>
      </c>
    </row>
    <row r="46" spans="2:14" ht="14.4" customHeight="1" x14ac:dyDescent="0.3">
      <c r="B46" s="252" t="s">
        <v>99</v>
      </c>
      <c r="C46" s="100">
        <v>13</v>
      </c>
      <c r="D46" s="253">
        <f>('Diameter Calc.'!$N$11/E7)^(2/3) * 1000</f>
        <v>58.179475617414475</v>
      </c>
      <c r="E46" s="254">
        <f>(0.35^(2/3))*D46</f>
        <v>28.894498786386286</v>
      </c>
      <c r="F46" s="255">
        <f>2*25.4+E46</f>
        <v>79.694498786386276</v>
      </c>
      <c r="G46" s="257">
        <v>30.7</v>
      </c>
      <c r="H46" s="260">
        <f>(G46-0.9*(25.4-12.7))/'Diameter Calc.'!$F$11</f>
        <v>6.8578952987650812</v>
      </c>
      <c r="I46" s="106">
        <f>0.35 * 'Diameter Calc.'!$O$11/E18</f>
        <v>8.9887541565437932</v>
      </c>
      <c r="J46" s="104">
        <f>I46-$H$46</f>
        <v>2.130858857778712</v>
      </c>
      <c r="K46" s="255">
        <f>3*25.4 + E46</f>
        <v>105.09449878638628</v>
      </c>
      <c r="L46" s="263">
        <v>31</v>
      </c>
      <c r="M46" s="260">
        <f>(L46-0.9*(25.4-12.7))/'Diameter Calc.'!$F$11</f>
        <v>6.964660664080573</v>
      </c>
      <c r="N46" s="107">
        <f>I46-$M$46</f>
        <v>2.0240934924632201</v>
      </c>
    </row>
    <row r="47" spans="2:14" x14ac:dyDescent="0.3">
      <c r="B47" s="252"/>
      <c r="C47" s="101">
        <v>10</v>
      </c>
      <c r="D47" s="253"/>
      <c r="E47" s="254"/>
      <c r="F47" s="255"/>
      <c r="G47" s="258"/>
      <c r="H47" s="261"/>
      <c r="I47" s="106">
        <f>0.35 * 'Diameter Calc.'!$O$11/E19</f>
        <v>11.685380403506931</v>
      </c>
      <c r="J47" s="104">
        <f t="shared" ref="J47:J54" si="21">I47-$H$46</f>
        <v>4.8274851047418501</v>
      </c>
      <c r="K47" s="255"/>
      <c r="L47" s="264"/>
      <c r="M47" s="261"/>
      <c r="N47" s="107">
        <f t="shared" ref="N47:N54" si="22">I47-$M$46</f>
        <v>4.7207197394263583</v>
      </c>
    </row>
    <row r="48" spans="2:14" x14ac:dyDescent="0.3">
      <c r="B48" s="252"/>
      <c r="C48" s="100">
        <v>7</v>
      </c>
      <c r="D48" s="253"/>
      <c r="E48" s="254"/>
      <c r="F48" s="255"/>
      <c r="G48" s="258"/>
      <c r="H48" s="261"/>
      <c r="I48" s="106">
        <f>0.35 * 'Diameter Calc.'!$O$11/E20</f>
        <v>16.693400576438474</v>
      </c>
      <c r="J48" s="104">
        <f t="shared" si="21"/>
        <v>9.8355052776733931</v>
      </c>
      <c r="K48" s="255"/>
      <c r="L48" s="264"/>
      <c r="M48" s="261"/>
      <c r="N48" s="107">
        <f t="shared" si="22"/>
        <v>9.7287399123579021</v>
      </c>
    </row>
    <row r="49" spans="2:14" ht="14.4" customHeight="1" x14ac:dyDescent="0.3">
      <c r="B49" s="252" t="s">
        <v>100</v>
      </c>
      <c r="C49" s="101">
        <f t="shared" ref="C49:C54" si="23">C32</f>
        <v>13</v>
      </c>
      <c r="D49" s="266">
        <f>('Diameter Calc.'!$N$11/G7)^(2/3) * 1000</f>
        <v>56.38402767533897</v>
      </c>
      <c r="E49" s="267">
        <f>(0.35^(2/3))*D49</f>
        <v>28.002799989984762</v>
      </c>
      <c r="F49" s="251">
        <f t="shared" ref="F49:F52" si="24">2*25.4+E49</f>
        <v>78.802799989984763</v>
      </c>
      <c r="G49" s="258"/>
      <c r="H49" s="261"/>
      <c r="I49" s="105">
        <f>0.35 * 'Diameter Calc.'!$O$11/G18</f>
        <v>9.4618464805724134</v>
      </c>
      <c r="J49" s="104">
        <f t="shared" si="21"/>
        <v>2.6039511818073322</v>
      </c>
      <c r="K49" s="251">
        <f>3*25.4 + E49</f>
        <v>104.20279998998475</v>
      </c>
      <c r="L49" s="264"/>
      <c r="M49" s="261"/>
      <c r="N49" s="107">
        <f t="shared" si="22"/>
        <v>2.4971858164918403</v>
      </c>
    </row>
    <row r="50" spans="2:14" x14ac:dyDescent="0.3">
      <c r="B50" s="252"/>
      <c r="C50" s="100">
        <f t="shared" si="23"/>
        <v>10</v>
      </c>
      <c r="D50" s="266"/>
      <c r="E50" s="267"/>
      <c r="F50" s="251"/>
      <c r="G50" s="258"/>
      <c r="H50" s="261"/>
      <c r="I50" s="105">
        <f>0.35 * 'Diameter Calc.'!$O$11/G19</f>
        <v>12.30040042474414</v>
      </c>
      <c r="J50" s="104">
        <f t="shared" si="21"/>
        <v>5.4425051259790589</v>
      </c>
      <c r="K50" s="251"/>
      <c r="L50" s="264"/>
      <c r="M50" s="261"/>
      <c r="N50" s="107">
        <f t="shared" si="22"/>
        <v>5.335739760663567</v>
      </c>
    </row>
    <row r="51" spans="2:14" x14ac:dyDescent="0.3">
      <c r="B51" s="252"/>
      <c r="C51" s="101">
        <f t="shared" si="23"/>
        <v>7</v>
      </c>
      <c r="D51" s="266"/>
      <c r="E51" s="267"/>
      <c r="F51" s="251"/>
      <c r="G51" s="258"/>
      <c r="H51" s="261"/>
      <c r="I51" s="105">
        <f>0.35 * 'Diameter Calc.'!$O$11/G20</f>
        <v>17.57200060677734</v>
      </c>
      <c r="J51" s="104">
        <f t="shared" si="21"/>
        <v>10.714105308012259</v>
      </c>
      <c r="K51" s="251"/>
      <c r="L51" s="264"/>
      <c r="M51" s="261"/>
      <c r="N51" s="107">
        <f t="shared" si="22"/>
        <v>10.607339942696768</v>
      </c>
    </row>
    <row r="52" spans="2:14" ht="14.4" customHeight="1" x14ac:dyDescent="0.3">
      <c r="B52" s="252" t="s">
        <v>101</v>
      </c>
      <c r="C52" s="100">
        <f t="shared" si="23"/>
        <v>13</v>
      </c>
      <c r="D52" s="253">
        <f>('Diameter Calc.'!$N$11/I7)^(2/3) * 1000</f>
        <v>55.324228706866272</v>
      </c>
      <c r="E52" s="254">
        <f>(0.35^(2/3))*D52</f>
        <v>27.476456985284631</v>
      </c>
      <c r="F52" s="255">
        <f t="shared" si="24"/>
        <v>78.276456985284625</v>
      </c>
      <c r="G52" s="258"/>
      <c r="H52" s="261"/>
      <c r="I52" s="106">
        <f>0.35 * 'Diameter Calc.'!$O$11/I18</f>
        <v>9.987504618381994</v>
      </c>
      <c r="J52" s="104">
        <f t="shared" si="21"/>
        <v>3.1296093196169128</v>
      </c>
      <c r="K52" s="255">
        <f>3*25.4 + E52</f>
        <v>103.67645698528462</v>
      </c>
      <c r="L52" s="264"/>
      <c r="M52" s="261"/>
      <c r="N52" s="107">
        <f t="shared" si="22"/>
        <v>3.0228439543014209</v>
      </c>
    </row>
    <row r="53" spans="2:14" x14ac:dyDescent="0.3">
      <c r="B53" s="252"/>
      <c r="C53" s="101">
        <f t="shared" si="23"/>
        <v>10</v>
      </c>
      <c r="D53" s="253"/>
      <c r="E53" s="254"/>
      <c r="F53" s="255"/>
      <c r="G53" s="258"/>
      <c r="H53" s="261"/>
      <c r="I53" s="106">
        <f>0.35 * 'Diameter Calc.'!$O$11/I19</f>
        <v>12.983756003896591</v>
      </c>
      <c r="J53" s="104">
        <f t="shared" si="21"/>
        <v>6.1258607051315099</v>
      </c>
      <c r="K53" s="255"/>
      <c r="L53" s="264"/>
      <c r="M53" s="261"/>
      <c r="N53" s="107">
        <f t="shared" si="22"/>
        <v>6.0190953398160181</v>
      </c>
    </row>
    <row r="54" spans="2:14" ht="15" thickBot="1" x14ac:dyDescent="0.35">
      <c r="B54" s="252"/>
      <c r="C54" s="100">
        <f t="shared" si="23"/>
        <v>7</v>
      </c>
      <c r="D54" s="253"/>
      <c r="E54" s="254"/>
      <c r="F54" s="256"/>
      <c r="G54" s="259"/>
      <c r="H54" s="262"/>
      <c r="I54" s="109">
        <f>0.35 * 'Diameter Calc.'!$O$11/I20</f>
        <v>18.548222862709419</v>
      </c>
      <c r="J54" s="110">
        <f t="shared" si="21"/>
        <v>11.690327563944338</v>
      </c>
      <c r="K54" s="256"/>
      <c r="L54" s="265"/>
      <c r="M54" s="262"/>
      <c r="N54" s="111">
        <f t="shared" si="22"/>
        <v>11.583562198628847</v>
      </c>
    </row>
    <row r="57" spans="2:14" ht="16.2" thickBot="1" x14ac:dyDescent="0.35">
      <c r="B57" s="274" t="s">
        <v>326</v>
      </c>
      <c r="C57" s="274"/>
      <c r="D57" s="274"/>
      <c r="E57" s="274"/>
      <c r="F57" s="274"/>
      <c r="G57" s="274"/>
      <c r="H57" s="274"/>
      <c r="I57" s="274"/>
      <c r="J57" s="274"/>
      <c r="K57" s="274"/>
      <c r="L57" s="274"/>
      <c r="M57" s="274"/>
      <c r="N57" s="274"/>
    </row>
    <row r="58" spans="2:14" x14ac:dyDescent="0.3">
      <c r="B58" s="97"/>
      <c r="C58" s="98"/>
      <c r="D58" s="98"/>
      <c r="E58" s="108"/>
      <c r="F58" s="268" t="s">
        <v>119</v>
      </c>
      <c r="G58" s="269"/>
      <c r="H58" s="269"/>
      <c r="I58" s="269"/>
      <c r="J58" s="270"/>
      <c r="K58" s="271" t="s">
        <v>120</v>
      </c>
      <c r="L58" s="272"/>
      <c r="M58" s="272"/>
      <c r="N58" s="273"/>
    </row>
    <row r="59" spans="2:14" ht="15.6" x14ac:dyDescent="0.3">
      <c r="B59" s="64"/>
      <c r="C59" s="99" t="s">
        <v>114</v>
      </c>
      <c r="D59" s="207" t="s">
        <v>123</v>
      </c>
      <c r="E59" s="207" t="s">
        <v>124</v>
      </c>
      <c r="F59" s="95" t="s">
        <v>125</v>
      </c>
      <c r="G59" s="208" t="s">
        <v>121</v>
      </c>
      <c r="H59" s="208" t="s">
        <v>306</v>
      </c>
      <c r="I59" s="208" t="s">
        <v>307</v>
      </c>
      <c r="J59" s="96" t="s">
        <v>122</v>
      </c>
      <c r="K59" s="95" t="s">
        <v>125</v>
      </c>
      <c r="L59" s="208" t="s">
        <v>121</v>
      </c>
      <c r="M59" s="208" t="s">
        <v>306</v>
      </c>
      <c r="N59" s="96" t="s">
        <v>122</v>
      </c>
    </row>
    <row r="60" spans="2:14" x14ac:dyDescent="0.3">
      <c r="B60" s="252" t="s">
        <v>99</v>
      </c>
      <c r="C60" s="100">
        <v>13</v>
      </c>
      <c r="D60" s="253">
        <f>('Diameter Calc.'!$N$11/E8)^(2/3) * 1000</f>
        <v>54.233147345334054</v>
      </c>
      <c r="E60" s="254">
        <f>(0.35^(2/3))*D60</f>
        <v>26.934577761691134</v>
      </c>
      <c r="F60" s="255">
        <f>2*25.4+E60</f>
        <v>77.734577761691128</v>
      </c>
      <c r="G60" s="257">
        <v>30.6</v>
      </c>
      <c r="H60" s="260">
        <f>(G60-0.9*(25.4-12.7))/'Diameter Calc.'!$F$11</f>
        <v>6.8223068436599181</v>
      </c>
      <c r="I60" s="106">
        <f>0.35* 'Diameter Calc.'!$O$11/E21</f>
        <v>7.2808908668004717</v>
      </c>
      <c r="J60" s="104">
        <f>I60-$H$46</f>
        <v>0.42299556803539051</v>
      </c>
      <c r="K60" s="255">
        <f>3*25.4 + E60</f>
        <v>103.13457776169112</v>
      </c>
      <c r="L60" s="263">
        <v>31</v>
      </c>
      <c r="M60" s="260">
        <f>(L60-0.9*(25.4-12.7))/'Diameter Calc.'!$F$11</f>
        <v>6.964660664080573</v>
      </c>
      <c r="N60" s="107">
        <f>I60-$M$46</f>
        <v>0.31623020271989866</v>
      </c>
    </row>
    <row r="61" spans="2:14" x14ac:dyDescent="0.3">
      <c r="B61" s="252"/>
      <c r="C61" s="101">
        <v>10</v>
      </c>
      <c r="D61" s="253"/>
      <c r="E61" s="254"/>
      <c r="F61" s="255"/>
      <c r="G61" s="258"/>
      <c r="H61" s="261"/>
      <c r="I61" s="106">
        <f>0.35* 'Diameter Calc.'!$O$11/E22</f>
        <v>9.4651581268406133</v>
      </c>
      <c r="J61" s="104">
        <f t="shared" ref="J61:J68" si="25">I61-$H$46</f>
        <v>2.6072628280755321</v>
      </c>
      <c r="K61" s="255"/>
      <c r="L61" s="264"/>
      <c r="M61" s="261"/>
      <c r="N61" s="107">
        <f t="shared" ref="N61:N68" si="26">I61-$M$46</f>
        <v>2.5004974627600403</v>
      </c>
    </row>
    <row r="62" spans="2:14" x14ac:dyDescent="0.3">
      <c r="B62" s="252"/>
      <c r="C62" s="100">
        <v>7</v>
      </c>
      <c r="D62" s="253"/>
      <c r="E62" s="254"/>
      <c r="F62" s="255"/>
      <c r="G62" s="258"/>
      <c r="H62" s="261"/>
      <c r="I62" s="106">
        <f>0.35* 'Diameter Calc.'!$O$11/E23</f>
        <v>13.521654466915161</v>
      </c>
      <c r="J62" s="104">
        <f t="shared" si="25"/>
        <v>6.6637591681500794</v>
      </c>
      <c r="K62" s="255"/>
      <c r="L62" s="264"/>
      <c r="M62" s="261"/>
      <c r="N62" s="107">
        <f t="shared" si="26"/>
        <v>6.5569938028345875</v>
      </c>
    </row>
    <row r="63" spans="2:14" x14ac:dyDescent="0.3">
      <c r="B63" s="252" t="s">
        <v>100</v>
      </c>
      <c r="C63" s="101">
        <f t="shared" ref="C63:C68" si="27">C46</f>
        <v>13</v>
      </c>
      <c r="D63" s="266">
        <f>('Diameter Calc.'!$N$11/G8)^(2/3) * 1000</f>
        <v>52.559485082824587</v>
      </c>
      <c r="E63" s="267">
        <f>(0.35^(2/3))*D63</f>
        <v>26.103363115981519</v>
      </c>
      <c r="F63" s="251">
        <f t="shared" ref="F63:F66" si="28">2*25.4+E63</f>
        <v>76.90336311598152</v>
      </c>
      <c r="G63" s="258"/>
      <c r="H63" s="261"/>
      <c r="I63" s="105">
        <f>0.35 * 'Diameter Calc.'!$O$11/G21</f>
        <v>7.6640956492636549</v>
      </c>
      <c r="J63" s="104">
        <f t="shared" si="25"/>
        <v>0.80620035049857375</v>
      </c>
      <c r="K63" s="251">
        <f>3*25.4 + E63</f>
        <v>102.30336311598151</v>
      </c>
      <c r="L63" s="264"/>
      <c r="M63" s="261"/>
      <c r="N63" s="107">
        <f t="shared" si="26"/>
        <v>0.69943498518308189</v>
      </c>
    </row>
    <row r="64" spans="2:14" x14ac:dyDescent="0.3">
      <c r="B64" s="252"/>
      <c r="C64" s="100">
        <f t="shared" si="27"/>
        <v>10</v>
      </c>
      <c r="D64" s="266"/>
      <c r="E64" s="267"/>
      <c r="F64" s="251"/>
      <c r="G64" s="258"/>
      <c r="H64" s="261"/>
      <c r="I64" s="105">
        <f>0.35 * 'Diameter Calc.'!$O$11/G22</f>
        <v>9.9633243440427499</v>
      </c>
      <c r="J64" s="104">
        <f t="shared" si="25"/>
        <v>3.1054290452776687</v>
      </c>
      <c r="K64" s="251"/>
      <c r="L64" s="264"/>
      <c r="M64" s="261"/>
      <c r="N64" s="107">
        <f t="shared" si="26"/>
        <v>2.9986636799621769</v>
      </c>
    </row>
    <row r="65" spans="2:14" x14ac:dyDescent="0.3">
      <c r="B65" s="252"/>
      <c r="C65" s="101">
        <f t="shared" si="27"/>
        <v>7</v>
      </c>
      <c r="D65" s="266"/>
      <c r="E65" s="267"/>
      <c r="F65" s="251"/>
      <c r="G65" s="258"/>
      <c r="H65" s="261"/>
      <c r="I65" s="105">
        <f>0.35 * 'Diameter Calc.'!$O$11/G23</f>
        <v>14.233320491489645</v>
      </c>
      <c r="J65" s="104">
        <f t="shared" si="25"/>
        <v>7.3754251927245633</v>
      </c>
      <c r="K65" s="251"/>
      <c r="L65" s="264"/>
      <c r="M65" s="261"/>
      <c r="N65" s="107">
        <f t="shared" si="26"/>
        <v>7.2686598274090715</v>
      </c>
    </row>
    <row r="66" spans="2:14" x14ac:dyDescent="0.3">
      <c r="B66" s="252" t="s">
        <v>101</v>
      </c>
      <c r="C66" s="100">
        <f t="shared" si="27"/>
        <v>13</v>
      </c>
      <c r="D66" s="253">
        <f>('Diameter Calc.'!$N$11/I8)^(2/3) * 1000</f>
        <v>51.571572541440162</v>
      </c>
      <c r="E66" s="254">
        <f>(0.35^(2/3))*D66</f>
        <v>25.612722087935818</v>
      </c>
      <c r="F66" s="255">
        <f t="shared" si="28"/>
        <v>76.412722087935819</v>
      </c>
      <c r="G66" s="258"/>
      <c r="H66" s="261"/>
      <c r="I66" s="106">
        <f>0.35 * 'Diameter Calc.'!$O$11/I21</f>
        <v>8.0898787408894144</v>
      </c>
      <c r="J66" s="104">
        <f t="shared" si="25"/>
        <v>1.2319834421243332</v>
      </c>
      <c r="K66" s="255">
        <f>3*25.4 + E66</f>
        <v>101.81272208793581</v>
      </c>
      <c r="L66" s="264"/>
      <c r="M66" s="261"/>
      <c r="N66" s="107">
        <f t="shared" si="26"/>
        <v>1.1252180768088413</v>
      </c>
    </row>
    <row r="67" spans="2:14" x14ac:dyDescent="0.3">
      <c r="B67" s="252"/>
      <c r="C67" s="101">
        <f t="shared" si="27"/>
        <v>10</v>
      </c>
      <c r="D67" s="253"/>
      <c r="E67" s="254"/>
      <c r="F67" s="255"/>
      <c r="G67" s="258"/>
      <c r="H67" s="261"/>
      <c r="I67" s="106">
        <f>0.35 * 'Diameter Calc.'!$O$11/I22</f>
        <v>10.516842363156238</v>
      </c>
      <c r="J67" s="104">
        <f t="shared" si="25"/>
        <v>3.6589470643911568</v>
      </c>
      <c r="K67" s="255"/>
      <c r="L67" s="264"/>
      <c r="M67" s="261"/>
      <c r="N67" s="107">
        <f t="shared" si="26"/>
        <v>3.5521816990756649</v>
      </c>
    </row>
    <row r="68" spans="2:14" ht="15" thickBot="1" x14ac:dyDescent="0.35">
      <c r="B68" s="252"/>
      <c r="C68" s="100">
        <f t="shared" si="27"/>
        <v>7</v>
      </c>
      <c r="D68" s="253"/>
      <c r="E68" s="254"/>
      <c r="F68" s="256"/>
      <c r="G68" s="259"/>
      <c r="H68" s="262"/>
      <c r="I68" s="109">
        <f>0.35 * 'Diameter Calc.'!$O$11/I23</f>
        <v>15.024060518794625</v>
      </c>
      <c r="J68" s="110">
        <f t="shared" si="25"/>
        <v>8.1661652200295443</v>
      </c>
      <c r="K68" s="256"/>
      <c r="L68" s="265"/>
      <c r="M68" s="262"/>
      <c r="N68" s="111">
        <f t="shared" si="26"/>
        <v>8.0593998547140515</v>
      </c>
    </row>
    <row r="71" spans="2:14" ht="16.2" thickBot="1" x14ac:dyDescent="0.35">
      <c r="B71" s="274" t="s">
        <v>327</v>
      </c>
      <c r="C71" s="274"/>
      <c r="D71" s="274"/>
      <c r="E71" s="274"/>
      <c r="F71" s="274"/>
      <c r="G71" s="274"/>
      <c r="H71" s="274"/>
      <c r="I71" s="274"/>
      <c r="J71" s="274"/>
      <c r="K71" s="274"/>
      <c r="L71" s="274"/>
      <c r="M71" s="274"/>
      <c r="N71" s="274"/>
    </row>
    <row r="72" spans="2:14" x14ac:dyDescent="0.3">
      <c r="B72" s="97"/>
      <c r="C72" s="98"/>
      <c r="D72" s="98"/>
      <c r="E72" s="108"/>
      <c r="F72" s="268" t="s">
        <v>119</v>
      </c>
      <c r="G72" s="269"/>
      <c r="H72" s="269"/>
      <c r="I72" s="269"/>
      <c r="J72" s="270"/>
      <c r="K72" s="271" t="s">
        <v>120</v>
      </c>
      <c r="L72" s="272"/>
      <c r="M72" s="272"/>
      <c r="N72" s="273"/>
    </row>
    <row r="73" spans="2:14" ht="15.6" x14ac:dyDescent="0.3">
      <c r="B73" s="64"/>
      <c r="C73" s="99" t="s">
        <v>114</v>
      </c>
      <c r="D73" s="207" t="s">
        <v>123</v>
      </c>
      <c r="E73" s="207" t="s">
        <v>124</v>
      </c>
      <c r="F73" s="95" t="s">
        <v>125</v>
      </c>
      <c r="G73" s="208" t="s">
        <v>121</v>
      </c>
      <c r="H73" s="208" t="s">
        <v>306</v>
      </c>
      <c r="I73" s="208" t="s">
        <v>307</v>
      </c>
      <c r="J73" s="96" t="s">
        <v>122</v>
      </c>
      <c r="K73" s="95" t="s">
        <v>125</v>
      </c>
      <c r="L73" s="208" t="s">
        <v>121</v>
      </c>
      <c r="M73" s="208" t="s">
        <v>306</v>
      </c>
      <c r="N73" s="96" t="s">
        <v>122</v>
      </c>
    </row>
    <row r="74" spans="2:14" x14ac:dyDescent="0.3">
      <c r="B74" s="252" t="s">
        <v>99</v>
      </c>
      <c r="C74" s="100">
        <v>13</v>
      </c>
      <c r="D74" s="253">
        <f>('Diameter Calc.'!$N$11/E9)^(2/3) * 1000</f>
        <v>49.408262529847967</v>
      </c>
      <c r="E74" s="254">
        <f>(0.35^(2/3))*D74</f>
        <v>24.538326730446247</v>
      </c>
      <c r="F74" s="255">
        <f>2*25.4+E74</f>
        <v>75.338326730446241</v>
      </c>
      <c r="G74" s="257">
        <v>30.6</v>
      </c>
      <c r="H74" s="260">
        <f>(G74-0.9*(25.4-12.7))/'Diameter Calc.'!$F$11</f>
        <v>6.8223068436599181</v>
      </c>
      <c r="I74" s="106">
        <f>0.35 * 'Diameter Calc.'!$O$11/E24</f>
        <v>5.5053995212101894</v>
      </c>
      <c r="J74" s="104">
        <f>I74-$H$46</f>
        <v>-1.3524957775548918</v>
      </c>
      <c r="K74" s="255">
        <f>3*25.4 + E74</f>
        <v>100.73832673044623</v>
      </c>
      <c r="L74" s="263">
        <v>31</v>
      </c>
      <c r="M74" s="260">
        <f>(L74-0.9*(25.4-12.7))/'Diameter Calc.'!$F$11</f>
        <v>6.964660664080573</v>
      </c>
      <c r="N74" s="107">
        <f>I74-$M$46</f>
        <v>-1.4592611428703837</v>
      </c>
    </row>
    <row r="75" spans="2:14" x14ac:dyDescent="0.3">
      <c r="B75" s="252"/>
      <c r="C75" s="101">
        <v>10</v>
      </c>
      <c r="D75" s="253"/>
      <c r="E75" s="254"/>
      <c r="F75" s="255"/>
      <c r="G75" s="258"/>
      <c r="H75" s="261"/>
      <c r="I75" s="106">
        <f>0.35 * 'Diameter Calc.'!$O$11/E25</f>
        <v>7.1570193775732447</v>
      </c>
      <c r="J75" s="104">
        <f t="shared" ref="J75:J82" si="29">I75-$H$46</f>
        <v>0.2991240788081635</v>
      </c>
      <c r="K75" s="255"/>
      <c r="L75" s="264"/>
      <c r="M75" s="261"/>
      <c r="N75" s="107">
        <f t="shared" ref="N75:N82" si="30">I75-$M$46</f>
        <v>0.19235871349267164</v>
      </c>
    </row>
    <row r="76" spans="2:14" x14ac:dyDescent="0.3">
      <c r="B76" s="252"/>
      <c r="C76" s="100">
        <v>7</v>
      </c>
      <c r="D76" s="253"/>
      <c r="E76" s="254"/>
      <c r="F76" s="255"/>
      <c r="G76" s="258"/>
      <c r="H76" s="261"/>
      <c r="I76" s="106">
        <f>0.35 * 'Diameter Calc.'!$O$11/E26</f>
        <v>10.224313396533208</v>
      </c>
      <c r="J76" s="104">
        <f t="shared" si="29"/>
        <v>3.3664180977681273</v>
      </c>
      <c r="K76" s="255"/>
      <c r="L76" s="264"/>
      <c r="M76" s="261"/>
      <c r="N76" s="107">
        <f t="shared" si="30"/>
        <v>3.2596527324526354</v>
      </c>
    </row>
    <row r="77" spans="2:14" x14ac:dyDescent="0.3">
      <c r="B77" s="252" t="s">
        <v>100</v>
      </c>
      <c r="C77" s="101">
        <f t="shared" ref="C77:C82" si="31">C60</f>
        <v>13</v>
      </c>
      <c r="D77" s="266">
        <f>('Diameter Calc.'!$N$11/G9)^(2/3) * 1000</f>
        <v>47.883498644657664</v>
      </c>
      <c r="E77" s="267">
        <f>(0.35^(2/3))*D77</f>
        <v>23.781061599356452</v>
      </c>
      <c r="F77" s="251">
        <f t="shared" ref="F77:F80" si="32">2*25.4+E77</f>
        <v>74.581061599356445</v>
      </c>
      <c r="G77" s="258"/>
      <c r="H77" s="261"/>
      <c r="I77" s="105">
        <f>0.35* 'Diameter Calc.'!$O$11/G24</f>
        <v>5.7951573907475664</v>
      </c>
      <c r="J77" s="104">
        <f t="shared" si="29"/>
        <v>-1.0627379080175148</v>
      </c>
      <c r="K77" s="251">
        <f>3*25.4 + E77</f>
        <v>99.981061599356437</v>
      </c>
      <c r="L77" s="264"/>
      <c r="M77" s="261"/>
      <c r="N77" s="107">
        <f t="shared" si="30"/>
        <v>-1.1695032733330066</v>
      </c>
    </row>
    <row r="78" spans="2:14" x14ac:dyDescent="0.3">
      <c r="B78" s="252"/>
      <c r="C78" s="100">
        <f t="shared" si="31"/>
        <v>10</v>
      </c>
      <c r="D78" s="266"/>
      <c r="E78" s="267"/>
      <c r="F78" s="251"/>
      <c r="G78" s="258"/>
      <c r="H78" s="261"/>
      <c r="I78" s="105">
        <f>0.35* 'Diameter Calc.'!$O$11/G25</f>
        <v>7.5337046079718366</v>
      </c>
      <c r="J78" s="104">
        <f t="shared" si="29"/>
        <v>0.67580930920675542</v>
      </c>
      <c r="K78" s="251"/>
      <c r="L78" s="264"/>
      <c r="M78" s="261"/>
      <c r="N78" s="107">
        <f t="shared" si="30"/>
        <v>0.56904394389126356</v>
      </c>
    </row>
    <row r="79" spans="2:14" x14ac:dyDescent="0.3">
      <c r="B79" s="252"/>
      <c r="C79" s="101">
        <f t="shared" si="31"/>
        <v>7</v>
      </c>
      <c r="D79" s="266"/>
      <c r="E79" s="267"/>
      <c r="F79" s="251"/>
      <c r="G79" s="258"/>
      <c r="H79" s="261"/>
      <c r="I79" s="105">
        <f>0.35* 'Diameter Calc.'!$O$11/G26</f>
        <v>10.76243515424548</v>
      </c>
      <c r="J79" s="104">
        <f t="shared" si="29"/>
        <v>3.9045398554803992</v>
      </c>
      <c r="K79" s="251"/>
      <c r="L79" s="264"/>
      <c r="M79" s="261"/>
      <c r="N79" s="107">
        <f t="shared" si="30"/>
        <v>3.7977744901649073</v>
      </c>
    </row>
    <row r="80" spans="2:14" x14ac:dyDescent="0.3">
      <c r="B80" s="252" t="s">
        <v>101</v>
      </c>
      <c r="C80" s="100">
        <f t="shared" si="31"/>
        <v>13</v>
      </c>
      <c r="D80" s="253">
        <f>('Diameter Calc.'!$N$11/I9)^(2/3) * 1000</f>
        <v>46.983476341131002</v>
      </c>
      <c r="E80" s="254">
        <f>(0.35^(2/3))*D80</f>
        <v>23.334070747668754</v>
      </c>
      <c r="F80" s="255">
        <f t="shared" si="32"/>
        <v>74.134070747668744</v>
      </c>
      <c r="G80" s="258"/>
      <c r="H80" s="261"/>
      <c r="I80" s="106">
        <f>0.35 * 'Diameter Calc.'!$O$11/I24</f>
        <v>6.1171105791224312</v>
      </c>
      <c r="J80" s="104">
        <f t="shared" si="29"/>
        <v>-0.74078471964265002</v>
      </c>
      <c r="K80" s="255">
        <f>3*25.4 + E80</f>
        <v>99.53407074766875</v>
      </c>
      <c r="L80" s="264"/>
      <c r="M80" s="261"/>
      <c r="N80" s="107">
        <f t="shared" si="30"/>
        <v>-0.84755008495814188</v>
      </c>
    </row>
    <row r="81" spans="2:14" x14ac:dyDescent="0.3">
      <c r="B81" s="252"/>
      <c r="C81" s="101">
        <f t="shared" si="31"/>
        <v>10</v>
      </c>
      <c r="D81" s="253"/>
      <c r="E81" s="254"/>
      <c r="F81" s="255"/>
      <c r="G81" s="258"/>
      <c r="H81" s="261"/>
      <c r="I81" s="106">
        <f>0.35 * 'Diameter Calc.'!$O$11/I25</f>
        <v>7.9522437528591601</v>
      </c>
      <c r="J81" s="104">
        <f t="shared" si="29"/>
        <v>1.0943484540940789</v>
      </c>
      <c r="K81" s="255"/>
      <c r="L81" s="264"/>
      <c r="M81" s="261"/>
      <c r="N81" s="107">
        <f t="shared" si="30"/>
        <v>0.98758308877858703</v>
      </c>
    </row>
    <row r="82" spans="2:14" ht="15" thickBot="1" x14ac:dyDescent="0.35">
      <c r="B82" s="252"/>
      <c r="C82" s="100">
        <f t="shared" si="31"/>
        <v>7</v>
      </c>
      <c r="D82" s="253"/>
      <c r="E82" s="254"/>
      <c r="F82" s="256"/>
      <c r="G82" s="259"/>
      <c r="H82" s="262"/>
      <c r="I82" s="109">
        <f>0.35 * 'Diameter Calc.'!$O$11/I26</f>
        <v>11.360348218370229</v>
      </c>
      <c r="J82" s="110">
        <f t="shared" si="29"/>
        <v>4.5024529196051475</v>
      </c>
      <c r="K82" s="256"/>
      <c r="L82" s="265"/>
      <c r="M82" s="262"/>
      <c r="N82" s="111">
        <f t="shared" si="30"/>
        <v>4.3956875542896556</v>
      </c>
    </row>
  </sheetData>
  <mergeCells count="114">
    <mergeCell ref="B38:B40"/>
    <mergeCell ref="B32:B34"/>
    <mergeCell ref="B35:B37"/>
    <mergeCell ref="K38:K40"/>
    <mergeCell ref="K35:K37"/>
    <mergeCell ref="K32:K34"/>
    <mergeCell ref="B24:B26"/>
    <mergeCell ref="D24:D26"/>
    <mergeCell ref="F24:F26"/>
    <mergeCell ref="H24:H26"/>
    <mergeCell ref="F30:J30"/>
    <mergeCell ref="K30:N30"/>
    <mergeCell ref="D32:D34"/>
    <mergeCell ref="D38:D40"/>
    <mergeCell ref="E38:E40"/>
    <mergeCell ref="E35:E37"/>
    <mergeCell ref="D35:D37"/>
    <mergeCell ref="E32:E34"/>
    <mergeCell ref="F38:F40"/>
    <mergeCell ref="F35:F37"/>
    <mergeCell ref="F32:F34"/>
    <mergeCell ref="D3:E3"/>
    <mergeCell ref="F3:G3"/>
    <mergeCell ref="H3:I3"/>
    <mergeCell ref="B2:I2"/>
    <mergeCell ref="F15:F17"/>
    <mergeCell ref="D15:D17"/>
    <mergeCell ref="B15:B17"/>
    <mergeCell ref="B18:B20"/>
    <mergeCell ref="B21:B23"/>
    <mergeCell ref="B12:I12"/>
    <mergeCell ref="C13:C14"/>
    <mergeCell ref="B13:B14"/>
    <mergeCell ref="D18:D20"/>
    <mergeCell ref="F18:F20"/>
    <mergeCell ref="H18:H20"/>
    <mergeCell ref="D21:D23"/>
    <mergeCell ref="F21:F23"/>
    <mergeCell ref="H21:H23"/>
    <mergeCell ref="D13:E13"/>
    <mergeCell ref="F13:G13"/>
    <mergeCell ref="H13:I13"/>
    <mergeCell ref="H15:H17"/>
    <mergeCell ref="B49:B51"/>
    <mergeCell ref="D49:D51"/>
    <mergeCell ref="B52:B54"/>
    <mergeCell ref="D52:D54"/>
    <mergeCell ref="E52:E54"/>
    <mergeCell ref="F52:F54"/>
    <mergeCell ref="K52:K54"/>
    <mergeCell ref="E49:E51"/>
    <mergeCell ref="F49:F51"/>
    <mergeCell ref="K49:K51"/>
    <mergeCell ref="B60:B62"/>
    <mergeCell ref="D60:D62"/>
    <mergeCell ref="E60:E62"/>
    <mergeCell ref="F60:F62"/>
    <mergeCell ref="B29:N29"/>
    <mergeCell ref="B43:N43"/>
    <mergeCell ref="K44:N44"/>
    <mergeCell ref="B57:N57"/>
    <mergeCell ref="F58:J58"/>
    <mergeCell ref="K58:N58"/>
    <mergeCell ref="G32:G40"/>
    <mergeCell ref="H32:H40"/>
    <mergeCell ref="G46:G54"/>
    <mergeCell ref="H46:H54"/>
    <mergeCell ref="L32:L40"/>
    <mergeCell ref="M32:M40"/>
    <mergeCell ref="L46:L54"/>
    <mergeCell ref="M46:M54"/>
    <mergeCell ref="F44:J44"/>
    <mergeCell ref="B46:B48"/>
    <mergeCell ref="D46:D48"/>
    <mergeCell ref="E46:E48"/>
    <mergeCell ref="F46:F48"/>
    <mergeCell ref="K46:K48"/>
    <mergeCell ref="F72:J72"/>
    <mergeCell ref="K72:N72"/>
    <mergeCell ref="B74:B76"/>
    <mergeCell ref="D74:D76"/>
    <mergeCell ref="E74:E76"/>
    <mergeCell ref="F74:F76"/>
    <mergeCell ref="K74:K76"/>
    <mergeCell ref="M74:M82"/>
    <mergeCell ref="K66:K68"/>
    <mergeCell ref="B71:N71"/>
    <mergeCell ref="G60:G68"/>
    <mergeCell ref="H60:H68"/>
    <mergeCell ref="L60:L68"/>
    <mergeCell ref="M60:M68"/>
    <mergeCell ref="B66:B68"/>
    <mergeCell ref="D66:D68"/>
    <mergeCell ref="E66:E68"/>
    <mergeCell ref="F66:F68"/>
    <mergeCell ref="K60:K62"/>
    <mergeCell ref="B63:B65"/>
    <mergeCell ref="D63:D65"/>
    <mergeCell ref="E63:E65"/>
    <mergeCell ref="F63:F65"/>
    <mergeCell ref="K63:K65"/>
    <mergeCell ref="K77:K79"/>
    <mergeCell ref="B80:B82"/>
    <mergeCell ref="D80:D82"/>
    <mergeCell ref="E80:E82"/>
    <mergeCell ref="F80:F82"/>
    <mergeCell ref="K80:K82"/>
    <mergeCell ref="G74:G82"/>
    <mergeCell ref="H74:H82"/>
    <mergeCell ref="L74:L82"/>
    <mergeCell ref="B77:B79"/>
    <mergeCell ref="D77:D79"/>
    <mergeCell ref="E77:E79"/>
    <mergeCell ref="F77:F79"/>
  </mergeCells>
  <phoneticPr fontId="10" type="noConversion"/>
  <conditionalFormatting sqref="J32:J40 N32:N40 J46:J54 N46:N54 J60:J68 N60:N68 J74:J82 N74:N82">
    <cfRule type="cellIs" dxfId="18" priority="1" operator="greaterThan">
      <formula>3</formula>
    </cfRule>
  </conditionalFormatting>
  <pageMargins left="0.7" right="0.7" top="0.75" bottom="0.75" header="0.3" footer="0.3"/>
  <pageSetup orientation="portrait" r:id="rId1"/>
  <ignoredErrors>
    <ignoredError sqref="B5:I5" calculatedColumn="1"/>
  </ignoredErrors>
  <drawing r:id="rId2"/>
  <legacyDrawing r:id="rId3"/>
  <tableParts count="1">
    <tablePart r:id="rId4"/>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E90E8-84CA-4F27-80F1-2ABB8A65339B}">
  <dimension ref="B3:L66"/>
  <sheetViews>
    <sheetView zoomScale="80" zoomScaleNormal="80" workbookViewId="0"/>
  </sheetViews>
  <sheetFormatPr defaultRowHeight="14.4" x14ac:dyDescent="0.3"/>
  <cols>
    <col min="1" max="1" width="8.88671875" style="184" customWidth="1"/>
    <col min="2" max="2" width="20.77734375" style="184" customWidth="1"/>
    <col min="3" max="3" width="12.44140625" style="184" customWidth="1"/>
    <col min="4" max="4" width="11.109375" style="184" customWidth="1"/>
    <col min="5" max="5" width="10.77734375" style="184" customWidth="1"/>
    <col min="6" max="6" width="10.5546875" style="184" bestFit="1" customWidth="1"/>
    <col min="7" max="7" width="15.5546875" style="184" customWidth="1"/>
    <col min="8" max="8" width="14.21875" style="184" customWidth="1"/>
    <col min="9" max="9" width="15.88671875" style="184" customWidth="1"/>
    <col min="10" max="10" width="16.44140625" style="184" customWidth="1"/>
    <col min="11" max="11" width="14.33203125" style="184" customWidth="1"/>
    <col min="12" max="12" width="14.21875" style="184" customWidth="1"/>
    <col min="13" max="13" width="16.6640625" style="184" customWidth="1"/>
    <col min="14" max="16384" width="8.88671875" style="184"/>
  </cols>
  <sheetData>
    <row r="3" spans="2:12" ht="15.6" x14ac:dyDescent="0.3">
      <c r="B3" s="216" t="s">
        <v>134</v>
      </c>
      <c r="C3" s="217"/>
      <c r="D3" s="217"/>
      <c r="E3" s="217"/>
      <c r="F3" s="217"/>
      <c r="G3" s="217"/>
      <c r="H3" s="217"/>
      <c r="I3" s="217"/>
      <c r="J3" s="217"/>
      <c r="K3" s="217"/>
      <c r="L3" s="218"/>
    </row>
    <row r="4" spans="2:12" ht="31.2" x14ac:dyDescent="0.3">
      <c r="B4" s="99"/>
      <c r="C4" s="103" t="s">
        <v>130</v>
      </c>
      <c r="D4" s="94" t="s">
        <v>114</v>
      </c>
      <c r="E4" s="94" t="s">
        <v>145</v>
      </c>
      <c r="F4" s="94" t="s">
        <v>146</v>
      </c>
      <c r="G4" s="94" t="s">
        <v>147</v>
      </c>
      <c r="H4" s="94" t="s">
        <v>148</v>
      </c>
      <c r="I4" s="103" t="s">
        <v>149</v>
      </c>
      <c r="J4" s="103" t="s">
        <v>150</v>
      </c>
      <c r="K4" s="103" t="s">
        <v>151</v>
      </c>
      <c r="L4" s="103" t="s">
        <v>152</v>
      </c>
    </row>
    <row r="5" spans="2:12" x14ac:dyDescent="0.3">
      <c r="B5" s="312" t="s">
        <v>127</v>
      </c>
      <c r="C5" s="311">
        <v>12</v>
      </c>
      <c r="D5" s="101">
        <v>13</v>
      </c>
      <c r="E5" s="121">
        <f>'Diameter Calc.'!$O$5/'Plate Design Part I'!G15</f>
        <v>34.840759361409511</v>
      </c>
      <c r="F5" s="317" t="s">
        <v>136</v>
      </c>
      <c r="G5" s="122">
        <f>51*((E5/0.74)^2)*'Diameter Calc.'!$F$5/'Diameter Calc.'!$E$5</f>
        <v>343.78831031543575</v>
      </c>
      <c r="H5" s="253">
        <f>12500/'Diameter Calc.'!E5</f>
        <v>17.445917655268666</v>
      </c>
      <c r="I5" s="115">
        <f>G5+ ('Plate Design Part I'!$D$35+(2*25.4))+'Plate Design Part II'!$H$5</f>
        <v>473.02410773592339</v>
      </c>
      <c r="J5" s="115">
        <f>I5+25.4</f>
        <v>498.42410773592337</v>
      </c>
      <c r="K5" s="134">
        <f>9.81/1000000*I5*'Diameter Calc.'!$E$5</f>
        <v>3.3248225950212613</v>
      </c>
      <c r="L5" s="135">
        <f>K5/I5*J5</f>
        <v>3.5033557660212611</v>
      </c>
    </row>
    <row r="6" spans="2:12" ht="14.4" customHeight="1" x14ac:dyDescent="0.3">
      <c r="B6" s="313"/>
      <c r="C6" s="311"/>
      <c r="D6" s="116">
        <v>10</v>
      </c>
      <c r="E6" s="117">
        <f>'Diameter Calc.'!$O$5/'Plate Design Part I'!G16</f>
        <v>45.292987169832365</v>
      </c>
      <c r="F6" s="318"/>
      <c r="G6" s="119">
        <f>51*((E6/0.722)^2)*'Diameter Calc.'!$F$5/'Diameter Calc.'!$E$5</f>
        <v>610.33300283829567</v>
      </c>
      <c r="H6" s="253"/>
      <c r="I6" s="22">
        <f>G6+ ('Plate Design Part I'!$D$35+(2*25.4))+'Plate Design Part II'!$H$5</f>
        <v>739.56880025878331</v>
      </c>
      <c r="J6" s="22">
        <f>I6+25.4</f>
        <v>764.96880025878329</v>
      </c>
      <c r="K6" s="136">
        <f>9.81/1000000*I6*'Diameter Calc.'!$E$5</f>
        <v>5.198329255230953</v>
      </c>
      <c r="L6" s="137">
        <f>K6/I6*J6</f>
        <v>5.3768624262309528</v>
      </c>
    </row>
    <row r="7" spans="2:12" x14ac:dyDescent="0.3">
      <c r="B7" s="313"/>
      <c r="C7" s="311"/>
      <c r="D7" s="101">
        <v>7</v>
      </c>
      <c r="E7" s="113">
        <f>'Diameter Calc.'!$O$5/'Plate Design Part I'!G17</f>
        <v>64.704267385474793</v>
      </c>
      <c r="F7" s="318"/>
      <c r="G7" s="112">
        <f>51*((E7/0.709)^2)*'Diameter Calc.'!$F$5/'Diameter Calc.'!$E$5</f>
        <v>1291.6733497498983</v>
      </c>
      <c r="H7" s="253"/>
      <c r="I7" s="102">
        <f>G7+ ('Plate Design Part I'!$D$35+(2*25.4))+'Plate Design Part II'!$H$5</f>
        <v>1420.9091471703859</v>
      </c>
      <c r="J7" s="102">
        <f t="shared" ref="J7:J22" si="0">I7+25.4</f>
        <v>1446.309147170386</v>
      </c>
      <c r="K7" s="136">
        <f>9.81/1000000*I7*'Diameter Calc.'!$E$5</f>
        <v>9.9873785727257758</v>
      </c>
      <c r="L7" s="137">
        <f t="shared" ref="L7:L22" si="1">K7/I7*J7</f>
        <v>10.165911743725776</v>
      </c>
    </row>
    <row r="8" spans="2:12" x14ac:dyDescent="0.3">
      <c r="B8" s="313"/>
      <c r="C8" s="310">
        <v>14</v>
      </c>
      <c r="D8" s="116">
        <v>13</v>
      </c>
      <c r="E8" s="117">
        <f>'Diameter Calc.'!$O$5/'Plate Design Part I'!I15</f>
        <v>36.776357103710041</v>
      </c>
      <c r="F8" s="318"/>
      <c r="G8" s="119">
        <f>51*((E8/0.74)^2)*'Diameter Calc.'!$F$5/'Diameter Calc.'!$E$5</f>
        <v>383.048086493433</v>
      </c>
      <c r="H8" s="253"/>
      <c r="I8" s="22">
        <f>G8+ ('Plate Design Part I'!$D$38+(2*25.4))+'Plate Design Part II'!$H$5</f>
        <v>511.1375129587517</v>
      </c>
      <c r="J8" s="22">
        <f t="shared" si="0"/>
        <v>536.53751295875168</v>
      </c>
      <c r="K8" s="136">
        <f>9.81/1000000*I8*'Diameter Calc.'!$E$5</f>
        <v>3.5927165750228167</v>
      </c>
      <c r="L8" s="137">
        <f t="shared" si="1"/>
        <v>3.7712497460228165</v>
      </c>
    </row>
    <row r="9" spans="2:12" ht="14.4" customHeight="1" x14ac:dyDescent="0.3">
      <c r="B9" s="313"/>
      <c r="C9" s="310"/>
      <c r="D9" s="101">
        <v>10</v>
      </c>
      <c r="E9" s="113">
        <f>'Diameter Calc.'!$O$5/'Plate Design Part I'!I16</f>
        <v>47.809264234823047</v>
      </c>
      <c r="F9" s="318"/>
      <c r="G9" s="112">
        <f>51*((E9/0.722)^2)*'Diameter Calc.'!$F$5/'Diameter Calc.'!$E$5</f>
        <v>680.03152476736022</v>
      </c>
      <c r="H9" s="253"/>
      <c r="I9" s="102">
        <f>G9+ ('Plate Design Part I'!$D$38+(2*25.4))+'Plate Design Part II'!$H$5</f>
        <v>808.12095123267886</v>
      </c>
      <c r="J9" s="102">
        <f t="shared" si="0"/>
        <v>833.52095123267884</v>
      </c>
      <c r="K9" s="136">
        <f>9.81/1000000*I9*'Diameter Calc.'!$E$5</f>
        <v>5.6801730698860844</v>
      </c>
      <c r="L9" s="137">
        <f t="shared" si="1"/>
        <v>5.8587062408860842</v>
      </c>
    </row>
    <row r="10" spans="2:12" x14ac:dyDescent="0.3">
      <c r="B10" s="314"/>
      <c r="C10" s="310"/>
      <c r="D10" s="116">
        <v>7</v>
      </c>
      <c r="E10" s="117">
        <f>'Diameter Calc.'!$O$5/'Plate Design Part I'!I17</f>
        <v>68.298948906890075</v>
      </c>
      <c r="F10" s="318"/>
      <c r="G10" s="119">
        <f>51*((E10/0.709)^2)*'Diameter Calc.'!$F$5/'Diameter Calc.'!$E$5</f>
        <v>1439.1792569744243</v>
      </c>
      <c r="H10" s="253"/>
      <c r="I10" s="22">
        <f>G10+ ('Plate Design Part I'!$D$38+(2*25.4))+'Plate Design Part II'!$H$5</f>
        <v>1567.268683439743</v>
      </c>
      <c r="J10" s="22">
        <f t="shared" si="0"/>
        <v>1592.6686834397431</v>
      </c>
      <c r="K10" s="136">
        <f>9.81/1000000*I10*'Diameter Calc.'!$E$5</f>
        <v>11.01611999462569</v>
      </c>
      <c r="L10" s="137">
        <f t="shared" si="1"/>
        <v>11.19465316562569</v>
      </c>
    </row>
    <row r="11" spans="2:12" x14ac:dyDescent="0.3">
      <c r="B11" s="312" t="s">
        <v>129</v>
      </c>
      <c r="C11" s="311">
        <v>12</v>
      </c>
      <c r="D11" s="101">
        <v>13</v>
      </c>
      <c r="E11" s="121">
        <f>'Diameter Calc.'!$O$8/'Plate Design Part I'!G15</f>
        <v>37.393184272679228</v>
      </c>
      <c r="F11" s="331"/>
      <c r="G11" s="122">
        <f>51*((E11/0.722)^2)*'Diameter Calc.'!$F$8/'Diameter Calc.'!$E$8</f>
        <v>440.60957652808202</v>
      </c>
      <c r="H11" s="327">
        <f>12500/'Diameter Calc.'!E8</f>
        <v>17.380422691879865</v>
      </c>
      <c r="I11" s="115">
        <f>G11+ ('Plate Design Part I'!$D$35+(2*25.4))+'Plate Design Part II'!$H$11</f>
        <v>569.77987898518086</v>
      </c>
      <c r="J11" s="115">
        <f t="shared" si="0"/>
        <v>595.17987898518084</v>
      </c>
      <c r="K11" s="134">
        <f>9.81/1000000*I11*'Diameter Calc.'!$E$8</f>
        <v>4.0199976087578539</v>
      </c>
      <c r="L11" s="135">
        <f t="shared" si="1"/>
        <v>4.1992035495578532</v>
      </c>
    </row>
    <row r="12" spans="2:12" x14ac:dyDescent="0.3">
      <c r="B12" s="313"/>
      <c r="C12" s="311"/>
      <c r="D12" s="116">
        <v>10</v>
      </c>
      <c r="E12" s="117">
        <f>'Diameter Calc.'!$O$8/'Plate Design Part I'!G16</f>
        <v>48.611139554483003</v>
      </c>
      <c r="F12" s="331"/>
      <c r="G12" s="119">
        <f>51*((E12/0.74)^2)*'Diameter Calc.'!$F$8/'Diameter Calc.'!$E$8</f>
        <v>708.84550951344283</v>
      </c>
      <c r="H12" s="327"/>
      <c r="I12" s="22">
        <f>G12+ ('Plate Design Part I'!$D$35+(2*25.4))+'Plate Design Part II'!$H$11</f>
        <v>838.01581197054168</v>
      </c>
      <c r="J12" s="22">
        <f t="shared" si="0"/>
        <v>863.41581197054165</v>
      </c>
      <c r="K12" s="136">
        <f>9.81/1000000*I12*'Diameter Calc.'!$E$8</f>
        <v>5.9124965350179854</v>
      </c>
      <c r="L12" s="137">
        <f t="shared" si="1"/>
        <v>6.0917024758179847</v>
      </c>
    </row>
    <row r="13" spans="2:12" x14ac:dyDescent="0.3">
      <c r="B13" s="313"/>
      <c r="C13" s="311"/>
      <c r="D13" s="101">
        <v>7</v>
      </c>
      <c r="E13" s="113">
        <f>'Diameter Calc.'!$O$8/'Plate Design Part I'!G17</f>
        <v>69.444485077832852</v>
      </c>
      <c r="F13" s="331"/>
      <c r="G13" s="112">
        <f>51*((E13/0.709)^2)*'Diameter Calc.'!$F$8/'Diameter Calc.'!$E$8</f>
        <v>1575.8921114354678</v>
      </c>
      <c r="H13" s="327"/>
      <c r="I13" s="102">
        <f>G13+ ('Plate Design Part I'!$D$35+(2*25.4))+'Plate Design Part II'!$H$11</f>
        <v>1705.0624138925666</v>
      </c>
      <c r="J13" s="102">
        <f t="shared" si="0"/>
        <v>1730.4624138925667</v>
      </c>
      <c r="K13" s="136">
        <f>9.81/1000000*I13*'Diameter Calc.'!$E$8</f>
        <v>12.029815511981749</v>
      </c>
      <c r="L13" s="137">
        <f t="shared" si="1"/>
        <v>12.20902145278175</v>
      </c>
    </row>
    <row r="14" spans="2:12" x14ac:dyDescent="0.3">
      <c r="B14" s="313"/>
      <c r="C14" s="310">
        <v>14</v>
      </c>
      <c r="D14" s="116">
        <v>13</v>
      </c>
      <c r="E14" s="117">
        <f>'Diameter Calc.'!$O$8/'Plate Design Part I'!I15</f>
        <v>39.470583398939191</v>
      </c>
      <c r="F14" s="331"/>
      <c r="G14" s="119">
        <f>51*((E14/0.722)^2)*'Diameter Calc.'!$F$8/'Diameter Calc.'!$E$8</f>
        <v>490.92610224270862</v>
      </c>
      <c r="H14" s="327"/>
      <c r="I14" s="22">
        <f>G14+ ('Plate Design Part I'!$D$38+(2*25.4))+'Plate Design Part II'!$H$11</f>
        <v>618.95003374463852</v>
      </c>
      <c r="J14" s="22">
        <f t="shared" si="0"/>
        <v>644.35003374463849</v>
      </c>
      <c r="K14" s="136">
        <f>9.81/1000000*I14*'Diameter Calc.'!$E$8</f>
        <v>4.366910358480304</v>
      </c>
      <c r="L14" s="137">
        <f t="shared" si="1"/>
        <v>4.5461162992803041</v>
      </c>
    </row>
    <row r="15" spans="2:12" ht="14.4" customHeight="1" x14ac:dyDescent="0.3">
      <c r="B15" s="313"/>
      <c r="C15" s="310"/>
      <c r="D15" s="101">
        <v>10</v>
      </c>
      <c r="E15" s="113">
        <f>'Diameter Calc.'!$O$8/'Plate Design Part I'!I16</f>
        <v>51.311758418620947</v>
      </c>
      <c r="F15" s="331"/>
      <c r="G15" s="112">
        <f>51*((E15/0.74)^2)*'Diameter Calc.'!$F$8/'Diameter Calc.'!$E$8</f>
        <v>789.79391646405213</v>
      </c>
      <c r="H15" s="327"/>
      <c r="I15" s="102">
        <f>G15+ ('Plate Design Part I'!$D$38+(2*25.4))+'Plate Design Part II'!$H$11</f>
        <v>917.81784796598197</v>
      </c>
      <c r="J15" s="102">
        <f t="shared" si="0"/>
        <v>943.21784796598195</v>
      </c>
      <c r="K15" s="136">
        <f>9.81/1000000*I15*'Diameter Calc.'!$E$8</f>
        <v>6.4755279892824884</v>
      </c>
      <c r="L15" s="137">
        <f t="shared" si="1"/>
        <v>6.6547339300824886</v>
      </c>
    </row>
    <row r="16" spans="2:12" x14ac:dyDescent="0.3">
      <c r="B16" s="314"/>
      <c r="C16" s="310"/>
      <c r="D16" s="116">
        <v>7</v>
      </c>
      <c r="E16" s="118">
        <f>'Diameter Calc.'!$O$8/'Plate Design Part I'!I17</f>
        <v>73.302512026601363</v>
      </c>
      <c r="F16" s="331"/>
      <c r="G16" s="120">
        <f>51*((E16/0.709)^2)*'Diameter Calc.'!$F$8/'Diameter Calc.'!$E$8</f>
        <v>1755.8550994697666</v>
      </c>
      <c r="H16" s="327"/>
      <c r="I16" s="26">
        <f>G16+ ('Plate Design Part I'!$D$38+(2*25.4))+'Plate Design Part II'!$H$11</f>
        <v>1883.8790309716965</v>
      </c>
      <c r="J16" s="26">
        <f t="shared" si="0"/>
        <v>1909.2790309716966</v>
      </c>
      <c r="K16" s="138">
        <f>9.81/1000000*I16*'Diameter Calc.'!$E$8</f>
        <v>13.291429688924223</v>
      </c>
      <c r="L16" s="139">
        <f t="shared" si="1"/>
        <v>13.470635629724224</v>
      </c>
    </row>
    <row r="17" spans="2:12" x14ac:dyDescent="0.3">
      <c r="B17" s="312" t="s">
        <v>128</v>
      </c>
      <c r="C17" s="311">
        <v>12</v>
      </c>
      <c r="D17" s="101">
        <v>13</v>
      </c>
      <c r="E17" s="121">
        <f>'Diameter Calc.'!$O$11/'Plate Design Part I'!G15</f>
        <v>34.214712719927036</v>
      </c>
      <c r="F17" s="331"/>
      <c r="G17" s="122">
        <f>51*((E17/0.74)^2)*'Diameter Calc.'!$F$11/'Diameter Calc.'!$E$11</f>
        <v>431.30210917332903</v>
      </c>
      <c r="H17" s="253">
        <f>12500/'Diameter Calc.'!E11</f>
        <v>17.598197944530479</v>
      </c>
      <c r="I17" s="115">
        <f>G17+ ('Plate Design Part I'!$D$35+(2*25.4))+'Plate Design Part II'!$H$17</f>
        <v>560.69018688307847</v>
      </c>
      <c r="J17" s="115">
        <f t="shared" si="0"/>
        <v>586.09018688307845</v>
      </c>
      <c r="K17" s="134">
        <f>9.81/1000000*I17*'Diameter Calc.'!$E$11</f>
        <v>3.906913331879327</v>
      </c>
      <c r="L17" s="135">
        <f t="shared" ref="L17" si="2">K17/I17*J17</f>
        <v>4.0839016240793269</v>
      </c>
    </row>
    <row r="18" spans="2:12" x14ac:dyDescent="0.3">
      <c r="B18" s="313"/>
      <c r="C18" s="311"/>
      <c r="D18" s="116">
        <v>10</v>
      </c>
      <c r="E18" s="117">
        <f>'Diameter Calc.'!$O$11/'Plate Design Part I'!G16</f>
        <v>44.479126535905145</v>
      </c>
      <c r="F18" s="331"/>
      <c r="G18" s="119">
        <f>51*((E18/0.722)^2)*'Diameter Calc.'!$F$11/'Diameter Calc.'!$E$11</f>
        <v>765.69767942580688</v>
      </c>
      <c r="H18" s="253"/>
      <c r="I18" s="22">
        <f>G18+ ('Plate Design Part I'!$D$35+(2*25.4))+'Plate Design Part II'!$H$17</f>
        <v>895.08575713555638</v>
      </c>
      <c r="J18" s="22">
        <f t="shared" si="0"/>
        <v>920.48575713555636</v>
      </c>
      <c r="K18" s="136">
        <f>9.81/1000000*I18*'Diameter Calc.'!$E$11</f>
        <v>6.2369960444081141</v>
      </c>
      <c r="L18" s="137">
        <f t="shared" si="1"/>
        <v>6.413984336608114</v>
      </c>
    </row>
    <row r="19" spans="2:12" x14ac:dyDescent="0.3">
      <c r="B19" s="313"/>
      <c r="C19" s="311"/>
      <c r="D19" s="101">
        <v>7</v>
      </c>
      <c r="E19" s="113">
        <f>'Diameter Calc.'!$O$11/'Plate Design Part I'!G17</f>
        <v>63.541609337007337</v>
      </c>
      <c r="F19" s="331"/>
      <c r="G19" s="112">
        <f>51*((E19/0.709)^2)*'Diameter Calc.'!$F$11/'Diameter Calc.'!$E$11</f>
        <v>1620.4781355100567</v>
      </c>
      <c r="H19" s="253"/>
      <c r="I19" s="102">
        <f>G19+ ('Plate Design Part I'!$D$35+(2*25.4))+'Plate Design Part II'!$H$17</f>
        <v>1749.8662132198062</v>
      </c>
      <c r="J19" s="102">
        <f t="shared" si="0"/>
        <v>1775.2662132198063</v>
      </c>
      <c r="K19" s="136">
        <f>9.81/1000000*I19*'Diameter Calc.'!$E$11</f>
        <v>12.193143017962779</v>
      </c>
      <c r="L19" s="137">
        <f t="shared" si="1"/>
        <v>12.37013131016278</v>
      </c>
    </row>
    <row r="20" spans="2:12" x14ac:dyDescent="0.3">
      <c r="B20" s="313"/>
      <c r="C20" s="310">
        <v>14</v>
      </c>
      <c r="D20" s="116">
        <v>13</v>
      </c>
      <c r="E20" s="117">
        <f>'Diameter Calc.'!$O$11/'Plate Design Part I'!I15</f>
        <v>36.115530093256311</v>
      </c>
      <c r="F20" s="331"/>
      <c r="G20" s="119">
        <f>51*((E20/0.74)^2)*'Diameter Calc.'!$F$11/'Diameter Calc.'!$E$11</f>
        <v>480.55574509744355</v>
      </c>
      <c r="H20" s="253"/>
      <c r="I20" s="22">
        <f>G20+ ('Plate Design Part I'!$D$38+(2*25.4))+'Plate Design Part II'!$H$17</f>
        <v>608.7974518520241</v>
      </c>
      <c r="J20" s="22">
        <f t="shared" si="0"/>
        <v>634.19745185202407</v>
      </c>
      <c r="K20" s="136">
        <f>9.81/1000000*I20*'Diameter Calc.'!$E$11</f>
        <v>4.2421268227953339</v>
      </c>
      <c r="L20" s="137">
        <f t="shared" ref="L20" si="3">K20/I20*J20</f>
        <v>4.4191151149953338</v>
      </c>
    </row>
    <row r="21" spans="2:12" x14ac:dyDescent="0.3">
      <c r="B21" s="313"/>
      <c r="C21" s="310"/>
      <c r="D21" s="101">
        <v>10</v>
      </c>
      <c r="E21" s="113">
        <f>'Diameter Calc.'!$O$11/'Plate Design Part I'!I16</f>
        <v>46.950189121233208</v>
      </c>
      <c r="F21" s="331"/>
      <c r="G21" s="112">
        <f>51*((E21/0.722)^2)*'Diameter Calc.'!$F$11/'Diameter Calc.'!$E$11</f>
        <v>853.13846380467976</v>
      </c>
      <c r="H21" s="253"/>
      <c r="I21" s="102">
        <f>G21+ ('Plate Design Part I'!$D$38+(2*25.4))+'Plate Design Part II'!$H$17</f>
        <v>981.38017055926025</v>
      </c>
      <c r="J21" s="102">
        <f t="shared" si="0"/>
        <v>1006.7801705592602</v>
      </c>
      <c r="K21" s="136">
        <f>9.81/1000000*I21*'Diameter Calc.'!$E$11</f>
        <v>6.83829922780426</v>
      </c>
      <c r="L21" s="137">
        <f t="shared" si="1"/>
        <v>7.015287520004259</v>
      </c>
    </row>
    <row r="22" spans="2:12" x14ac:dyDescent="0.3">
      <c r="B22" s="314"/>
      <c r="C22" s="310"/>
      <c r="D22" s="116">
        <v>7</v>
      </c>
      <c r="E22" s="118">
        <f>'Diameter Calc.'!$O$11/'Plate Design Part I'!I17</f>
        <v>67.071698744618871</v>
      </c>
      <c r="F22" s="332"/>
      <c r="G22" s="120">
        <f>51*((E22/0.709)^2)*'Diameter Calc.'!$F$11/'Diameter Calc.'!$E$11</f>
        <v>1805.5327374047247</v>
      </c>
      <c r="H22" s="253"/>
      <c r="I22" s="26">
        <f>G22+ ('Plate Design Part I'!$D$38+(2*25.4))+'Plate Design Part II'!$H$17</f>
        <v>1933.7744441593052</v>
      </c>
      <c r="J22" s="26">
        <f t="shared" si="0"/>
        <v>1959.1744441593053</v>
      </c>
      <c r="K22" s="138">
        <f>9.81/1000000*I22*'Diameter Calc.'!$E$11</f>
        <v>13.474623479203137</v>
      </c>
      <c r="L22" s="139">
        <f t="shared" si="1"/>
        <v>13.651611771403138</v>
      </c>
    </row>
    <row r="25" spans="2:12" ht="15.6" x14ac:dyDescent="0.3">
      <c r="B25" s="216" t="s">
        <v>135</v>
      </c>
      <c r="C25" s="217"/>
      <c r="D25" s="217"/>
      <c r="E25" s="217"/>
      <c r="F25" s="217"/>
      <c r="G25" s="217"/>
      <c r="H25" s="217"/>
      <c r="I25" s="217"/>
      <c r="J25" s="217"/>
      <c r="K25" s="217"/>
      <c r="L25" s="218"/>
    </row>
    <row r="26" spans="2:12" ht="31.2" x14ac:dyDescent="0.3">
      <c r="B26" s="99"/>
      <c r="C26" s="103" t="s">
        <v>130</v>
      </c>
      <c r="D26" s="94" t="s">
        <v>114</v>
      </c>
      <c r="E26" s="165" t="s">
        <v>145</v>
      </c>
      <c r="F26" s="165" t="s">
        <v>146</v>
      </c>
      <c r="G26" s="165" t="s">
        <v>147</v>
      </c>
      <c r="H26" s="165" t="s">
        <v>148</v>
      </c>
      <c r="I26" s="163" t="s">
        <v>149</v>
      </c>
      <c r="J26" s="163" t="s">
        <v>150</v>
      </c>
      <c r="K26" s="163" t="s">
        <v>151</v>
      </c>
      <c r="L26" s="163" t="s">
        <v>152</v>
      </c>
    </row>
    <row r="27" spans="2:12" x14ac:dyDescent="0.3">
      <c r="B27" s="322" t="s">
        <v>127</v>
      </c>
      <c r="C27" s="311">
        <v>12</v>
      </c>
      <c r="D27" s="101">
        <v>13</v>
      </c>
      <c r="E27" s="121">
        <f>'Diameter Calc.'!$O$5/'Plate Design Part I'!G18</f>
        <v>27.528501223829736</v>
      </c>
      <c r="F27" s="317" t="s">
        <v>136</v>
      </c>
      <c r="G27" s="123">
        <f>51*((E27/0.74)^2)*'Diameter Calc.'!$F$5/'Diameter Calc.'!$E$5</f>
        <v>214.62534964975228</v>
      </c>
      <c r="H27" s="315">
        <f>12500/'Diameter Calc.'!E5</f>
        <v>17.445917655268666</v>
      </c>
      <c r="I27" s="128">
        <f>G27+ ('Plate Design Part I'!$D$49+(2*25.4))+'Plate Design Part II'!$H$5</f>
        <v>339.25529498035991</v>
      </c>
      <c r="J27" s="128">
        <f>I27+25.4</f>
        <v>364.65529498035988</v>
      </c>
      <c r="K27" s="134">
        <f>9.81/1000000*I27*'Diameter Calc.'!$E$5</f>
        <v>2.3845796689521275</v>
      </c>
      <c r="L27" s="135">
        <f>K27/I27*J27</f>
        <v>2.5631128399521272</v>
      </c>
    </row>
    <row r="28" spans="2:12" ht="14.4" customHeight="1" x14ac:dyDescent="0.3">
      <c r="B28" s="220"/>
      <c r="C28" s="311"/>
      <c r="D28" s="116">
        <v>10</v>
      </c>
      <c r="E28" s="117">
        <f>'Diameter Calc.'!$O$5/'Plate Design Part I'!G19</f>
        <v>35.787051590978663</v>
      </c>
      <c r="F28" s="318"/>
      <c r="G28" s="124">
        <f>51*((E28/0.722)^2)*'Diameter Calc.'!$F$5/'Diameter Calc.'!$E$5</f>
        <v>381.02788898424939</v>
      </c>
      <c r="H28" s="253"/>
      <c r="I28" s="129">
        <f>G28+ ('Plate Design Part I'!$D$49+(2*25.4))+'Plate Design Part II'!$H$5</f>
        <v>505.65783431485704</v>
      </c>
      <c r="J28" s="129">
        <f>I28+25.4</f>
        <v>531.05783431485702</v>
      </c>
      <c r="K28" s="136">
        <f>9.81/1000000*I28*'Diameter Calc.'!$E$5</f>
        <v>3.5542006535914981</v>
      </c>
      <c r="L28" s="137">
        <f>K28/I28*J28</f>
        <v>3.7327338245914978</v>
      </c>
    </row>
    <row r="29" spans="2:12" x14ac:dyDescent="0.3">
      <c r="B29" s="220"/>
      <c r="C29" s="311"/>
      <c r="D29" s="101">
        <v>7</v>
      </c>
      <c r="E29" s="114">
        <f>'Diameter Calc.'!$O$5/'Plate Design Part I'!G20</f>
        <v>51.124359415683799</v>
      </c>
      <c r="F29" s="318"/>
      <c r="G29" s="123">
        <f>51*((E29/0.709)^2)*'Diameter Calc.'!$F$5/'Diameter Calc.'!$E$5</f>
        <v>806.38531330217734</v>
      </c>
      <c r="H29" s="253"/>
      <c r="I29" s="128">
        <f>G29+ ('Plate Design Part I'!$D$49+(2*25.4))+'Plate Design Part II'!$H$5</f>
        <v>931.01525863278493</v>
      </c>
      <c r="J29" s="128">
        <f t="shared" ref="J29:J44" si="4">I29+25.4</f>
        <v>956.41525863278491</v>
      </c>
      <c r="K29" s="136">
        <f>9.81/1000000*I29*'Diameter Calc.'!$E$5</f>
        <v>6.5439805658699299</v>
      </c>
      <c r="L29" s="137">
        <f t="shared" ref="L29:L44" si="5">K29/I29*J29</f>
        <v>6.7225137368699306</v>
      </c>
    </row>
    <row r="30" spans="2:12" x14ac:dyDescent="0.3">
      <c r="B30" s="220"/>
      <c r="C30" s="316">
        <v>14</v>
      </c>
      <c r="D30" s="127">
        <v>13</v>
      </c>
      <c r="E30" s="117">
        <f>'Diameter Calc.'!$O$5/'Plate Design Part I'!I18</f>
        <v>29.057862402931391</v>
      </c>
      <c r="F30" s="318"/>
      <c r="G30" s="124">
        <f>51*((E30/0.722)^2)*'Diameter Calc.'!$F$5/'Diameter Calc.'!$E$5</f>
        <v>251.20729769032425</v>
      </c>
      <c r="H30" s="253"/>
      <c r="I30" s="129">
        <f>G30+ ('Plate Design Part I'!$D$52+(2*25.4))+'Plate Design Part II'!$H$5</f>
        <v>374.77744405245915</v>
      </c>
      <c r="J30" s="129">
        <f t="shared" si="4"/>
        <v>400.17744405245912</v>
      </c>
      <c r="K30" s="141">
        <f>9.81/1000000*I30*'Diameter Calc.'!$E$5</f>
        <v>2.6342600592897885</v>
      </c>
      <c r="L30" s="137">
        <f t="shared" ref="L30" si="6">K30/I30*J30</f>
        <v>2.8127932302897882</v>
      </c>
    </row>
    <row r="31" spans="2:12" x14ac:dyDescent="0.3">
      <c r="B31" s="220"/>
      <c r="C31" s="310"/>
      <c r="D31" s="101">
        <v>10</v>
      </c>
      <c r="E31" s="113">
        <f>'Diameter Calc.'!$O$5/'Plate Design Part I'!I19</f>
        <v>37.775221123810809</v>
      </c>
      <c r="F31" s="318"/>
      <c r="G31" s="123">
        <f>51*((E31/0.74)^2)*'Diameter Calc.'!$F$5/'Diameter Calc.'!$E$5</f>
        <v>404.1382085426464</v>
      </c>
      <c r="H31" s="253"/>
      <c r="I31" s="128">
        <f>G31+ ('Plate Design Part I'!$D$52+(2*25.4))+'Plate Design Part II'!$H$5</f>
        <v>527.70835490478134</v>
      </c>
      <c r="J31" s="128">
        <f t="shared" si="4"/>
        <v>553.10835490478132</v>
      </c>
      <c r="K31" s="136">
        <f>9.81/1000000*I31*'Diameter Calc.'!$E$5</f>
        <v>3.7091907859977962</v>
      </c>
      <c r="L31" s="137">
        <f t="shared" si="5"/>
        <v>3.8877239569977959</v>
      </c>
    </row>
    <row r="32" spans="2:12" x14ac:dyDescent="0.3">
      <c r="B32" s="323"/>
      <c r="C32" s="310"/>
      <c r="D32" s="116">
        <v>7</v>
      </c>
      <c r="E32" s="118">
        <f>'Diameter Calc.'!$O$5/'Plate Design Part I'!I20</f>
        <v>53.964601605444017</v>
      </c>
      <c r="F32" s="318"/>
      <c r="G32" s="125">
        <f>51*((E32/0.709)^2)*'Diameter Calc.'!$F$5/'Diameter Calc.'!$E$5</f>
        <v>898.47252500643867</v>
      </c>
      <c r="H32" s="253"/>
      <c r="I32" s="130">
        <f>G32+ ('Plate Design Part I'!$D$52+(2*25.4))+'Plate Design Part II'!$H$5</f>
        <v>1022.0426713685736</v>
      </c>
      <c r="J32" s="129">
        <f t="shared" si="4"/>
        <v>1047.4426713685737</v>
      </c>
      <c r="K32" s="138">
        <f>9.81/1000000*I32*'Diameter Calc.'!$E$5</f>
        <v>7.1837999612890702</v>
      </c>
      <c r="L32" s="139">
        <f t="shared" si="5"/>
        <v>7.3623331322890708</v>
      </c>
    </row>
    <row r="33" spans="2:12" x14ac:dyDescent="0.3">
      <c r="B33" s="322" t="s">
        <v>129</v>
      </c>
      <c r="C33" s="311">
        <v>12</v>
      </c>
      <c r="D33" s="101">
        <v>13</v>
      </c>
      <c r="E33" s="121">
        <f>'Diameter Calc.'!$O$8/'Plate Design Part I'!G18</f>
        <v>29.545232017919393</v>
      </c>
      <c r="F33" s="318"/>
      <c r="G33" s="126">
        <f>51*((E33/0.722)^2)*'Diameter Calc.'!$F$8/'Diameter Calc.'!$E$8</f>
        <v>275.07038949230667</v>
      </c>
      <c r="H33" s="327">
        <f>12500/'Diameter Calc.'!E8</f>
        <v>17.380422691879865</v>
      </c>
      <c r="I33" s="131">
        <f>G33+ ('Plate Design Part I'!$D$49+(2*25.4))+'Plate Design Part II'!$H$11</f>
        <v>399.63483985952553</v>
      </c>
      <c r="J33" s="131">
        <f t="shared" si="4"/>
        <v>425.0348398595255</v>
      </c>
      <c r="K33" s="134">
        <f>9.81/1000000*I33*'Diameter Calc.'!$E$8</f>
        <v>2.8195644666725834</v>
      </c>
      <c r="L33" s="135">
        <f t="shared" ref="L33" si="7">K33/I33*J33</f>
        <v>2.9987704074725832</v>
      </c>
    </row>
    <row r="34" spans="2:12" x14ac:dyDescent="0.3">
      <c r="B34" s="220"/>
      <c r="C34" s="311"/>
      <c r="D34" s="116">
        <v>10</v>
      </c>
      <c r="E34" s="117">
        <f>'Diameter Calc.'!$O$8/'Plate Design Part I'!G19</f>
        <v>38.408801623295219</v>
      </c>
      <c r="F34" s="318"/>
      <c r="G34" s="124">
        <f>51*((E34/0.74)^2)*'Diameter Calc.'!$F$8/'Diameter Calc.'!$E$8</f>
        <v>442.52876192151547</v>
      </c>
      <c r="H34" s="327"/>
      <c r="I34" s="129">
        <f>G34+ ('Plate Design Part I'!$D$49+(2*25.4))+'Plate Design Part II'!$H$11</f>
        <v>567.09321228873432</v>
      </c>
      <c r="J34" s="129">
        <f t="shared" si="4"/>
        <v>592.4932122887343</v>
      </c>
      <c r="K34" s="136">
        <f>9.81/1000000*I34*'Diameter Calc.'!$E$8</f>
        <v>4.001042229507747</v>
      </c>
      <c r="L34" s="137">
        <f t="shared" si="5"/>
        <v>4.1802481703077472</v>
      </c>
    </row>
    <row r="35" spans="2:12" x14ac:dyDescent="0.3">
      <c r="B35" s="220"/>
      <c r="C35" s="311"/>
      <c r="D35" s="101">
        <v>7</v>
      </c>
      <c r="E35" s="113">
        <f>'Diameter Calc.'!$O$8/'Plate Design Part I'!G20</f>
        <v>54.869716604707442</v>
      </c>
      <c r="F35" s="318"/>
      <c r="G35" s="123">
        <f>51*((E35/0.709)^2)*'Diameter Calc.'!$F$8/'Diameter Calc.'!$E$8</f>
        <v>983.82168700498062</v>
      </c>
      <c r="H35" s="327"/>
      <c r="I35" s="128">
        <f>G35+ ('Plate Design Part I'!$D$49+(2*25.4))+'Plate Design Part II'!$H$11</f>
        <v>1108.3861373721995</v>
      </c>
      <c r="J35" s="128">
        <f t="shared" si="4"/>
        <v>1133.7861373721996</v>
      </c>
      <c r="K35" s="136">
        <f>9.81/1000000*I35*'Diameter Calc.'!$E$8</f>
        <v>7.8200543510812244</v>
      </c>
      <c r="L35" s="137">
        <f t="shared" si="5"/>
        <v>7.9992602918812254</v>
      </c>
    </row>
    <row r="36" spans="2:12" x14ac:dyDescent="0.3">
      <c r="B36" s="220"/>
      <c r="C36" s="310">
        <v>14</v>
      </c>
      <c r="D36" s="116">
        <v>13</v>
      </c>
      <c r="E36" s="117">
        <f>'Diameter Calc.'!$O$8/'Plate Design Part I'!I18</f>
        <v>31.186633796692696</v>
      </c>
      <c r="F36" s="318"/>
      <c r="G36" s="124">
        <f>51*((E36/0.722)^2)*'Diameter Calc.'!$F$8/'Diameter Calc.'!$E$8</f>
        <v>306.48274878618128</v>
      </c>
      <c r="H36" s="327"/>
      <c r="I36" s="129">
        <f>G36+ ('Plate Design Part I'!$D$52+(2*25.4))+'Plate Design Part II'!$H$11</f>
        <v>429.98740018492742</v>
      </c>
      <c r="J36" s="129">
        <f t="shared" si="4"/>
        <v>455.3874001849274</v>
      </c>
      <c r="K36" s="141">
        <f>9.81/1000000*I36*'Diameter Calc.'!$E$8</f>
        <v>3.0337124638695285</v>
      </c>
      <c r="L36" s="137">
        <f t="shared" ref="L36" si="8">K36/I36*J36</f>
        <v>3.2129184046695283</v>
      </c>
    </row>
    <row r="37" spans="2:12" x14ac:dyDescent="0.3">
      <c r="B37" s="220"/>
      <c r="C37" s="310"/>
      <c r="D37" s="101">
        <v>10</v>
      </c>
      <c r="E37" s="113">
        <f>'Diameter Calc.'!$O$8/'Plate Design Part I'!I19</f>
        <v>40.542623935700504</v>
      </c>
      <c r="F37" s="318"/>
      <c r="G37" s="123">
        <f>51*((E37/0.74)^2)*'Diameter Calc.'!$F$8/'Diameter Calc.'!$E$8</f>
        <v>493.06445386934274</v>
      </c>
      <c r="H37" s="327"/>
      <c r="I37" s="128">
        <f>G37+ ('Plate Design Part I'!$D$52+(2*25.4))+'Plate Design Part II'!$H$11</f>
        <v>616.56910526808883</v>
      </c>
      <c r="J37" s="128">
        <f t="shared" si="4"/>
        <v>641.96910526808881</v>
      </c>
      <c r="K37" s="136">
        <f>9.81/1000000*I37*'Diameter Calc.'!$E$8</f>
        <v>4.3501120699914217</v>
      </c>
      <c r="L37" s="137">
        <f t="shared" si="5"/>
        <v>4.529318010791421</v>
      </c>
    </row>
    <row r="38" spans="2:12" x14ac:dyDescent="0.3">
      <c r="B38" s="323"/>
      <c r="C38" s="310"/>
      <c r="D38" s="116">
        <v>7</v>
      </c>
      <c r="E38" s="118">
        <f>'Diameter Calc.'!$O$8/'Plate Design Part I'!I20</f>
        <v>57.918034193857871</v>
      </c>
      <c r="F38" s="318"/>
      <c r="G38" s="125">
        <f>51*((E38/0.709)^2)*'Diameter Calc.'!$F$8/'Diameter Calc.'!$E$8</f>
        <v>1096.171694471599</v>
      </c>
      <c r="H38" s="327"/>
      <c r="I38" s="130">
        <f>G38+ ('Plate Design Part I'!$D$52+(2*25.4))+'Plate Design Part II'!$H$11</f>
        <v>1219.6763458703451</v>
      </c>
      <c r="J38" s="130">
        <f t="shared" si="4"/>
        <v>1245.0763458703452</v>
      </c>
      <c r="K38" s="138">
        <f>9.81/1000000*I38*'Diameter Calc.'!$E$8</f>
        <v>8.6052459461890329</v>
      </c>
      <c r="L38" s="139">
        <f t="shared" si="5"/>
        <v>8.784451886989034</v>
      </c>
    </row>
    <row r="39" spans="2:12" x14ac:dyDescent="0.3">
      <c r="B39" s="322" t="s">
        <v>128</v>
      </c>
      <c r="C39" s="311">
        <v>12</v>
      </c>
      <c r="D39" s="101">
        <v>13</v>
      </c>
      <c r="E39" s="121">
        <f>'Diameter Calc.'!$O$11/'Plate Design Part I'!G18</f>
        <v>27.033847087349756</v>
      </c>
      <c r="F39" s="318"/>
      <c r="G39" s="126">
        <f>51*((E39/0.722)^2)*'Diameter Calc.'!$F$11/'Diameter Calc.'!$E$11</f>
        <v>282.85283533305596</v>
      </c>
      <c r="H39" s="253">
        <f>12500/'Diameter Calc.'!E11</f>
        <v>17.598197944530479</v>
      </c>
      <c r="I39" s="131">
        <f>G39+ ('Plate Design Part I'!$D$49+(2*25.4))+'Plate Design Part II'!$H$17</f>
        <v>407.63506095292536</v>
      </c>
      <c r="J39" s="131">
        <f t="shared" si="4"/>
        <v>433.03506095292533</v>
      </c>
      <c r="K39" s="134">
        <f>9.81/1000000*I39*'Diameter Calc.'!$E$11</f>
        <v>2.8404186330276051</v>
      </c>
      <c r="L39" s="135">
        <f t="shared" ref="L39" si="9">K39/I39*J39</f>
        <v>3.017406925227605</v>
      </c>
    </row>
    <row r="40" spans="2:12" x14ac:dyDescent="0.3">
      <c r="B40" s="220"/>
      <c r="C40" s="311"/>
      <c r="D40" s="116">
        <v>10</v>
      </c>
      <c r="E40" s="117">
        <f>'Diameter Calc.'!$O$11/'Plate Design Part I'!G19</f>
        <v>35.144001213554688</v>
      </c>
      <c r="F40" s="318"/>
      <c r="G40" s="124">
        <f>51*((E40/0.74)^2)*'Diameter Calc.'!$F$11/'Diameter Calc.'!$E$11</f>
        <v>455.04903401981187</v>
      </c>
      <c r="H40" s="253"/>
      <c r="I40" s="129">
        <f>G40+ ('Plate Design Part I'!$D$49+(2*25.4))+'Plate Design Part II'!$H$17</f>
        <v>579.83125963968132</v>
      </c>
      <c r="J40" s="129">
        <f t="shared" si="4"/>
        <v>605.2312596396813</v>
      </c>
      <c r="K40" s="136">
        <f>9.81/1000000*I40*'Diameter Calc.'!$E$11</f>
        <v>4.0402891499134643</v>
      </c>
      <c r="L40" s="137">
        <f t="shared" si="5"/>
        <v>4.2172774421134642</v>
      </c>
    </row>
    <row r="41" spans="2:12" x14ac:dyDescent="0.3">
      <c r="B41" s="220"/>
      <c r="C41" s="311"/>
      <c r="D41" s="101">
        <v>7</v>
      </c>
      <c r="E41" s="113">
        <f>'Diameter Calc.'!$O$11/'Plate Design Part I'!G20</f>
        <v>50.205716019363834</v>
      </c>
      <c r="F41" s="318"/>
      <c r="G41" s="123">
        <f>51*((E41/0.709)^2)*'Diameter Calc.'!$F$11/'Diameter Calc.'!$E$11</f>
        <v>1011.6565223364113</v>
      </c>
      <c r="H41" s="253"/>
      <c r="I41" s="128">
        <f>G41+ ('Plate Design Part I'!$D$49+(2*25.4))+'Plate Design Part II'!$H$17</f>
        <v>1136.4387479562808</v>
      </c>
      <c r="J41" s="128">
        <f t="shared" si="4"/>
        <v>1161.8387479562809</v>
      </c>
      <c r="K41" s="136">
        <f>9.81/1000000*I41*'Diameter Calc.'!$E$11</f>
        <v>7.9187540626255277</v>
      </c>
      <c r="L41" s="137">
        <f t="shared" si="5"/>
        <v>8.0957423548255285</v>
      </c>
    </row>
    <row r="42" spans="2:12" x14ac:dyDescent="0.3">
      <c r="B42" s="220"/>
      <c r="C42" s="310">
        <v>14</v>
      </c>
      <c r="D42" s="116">
        <v>13</v>
      </c>
      <c r="E42" s="117">
        <f>'Diameter Calc.'!$O$11/'Plate Design Part I'!I18</f>
        <v>28.53572748109141</v>
      </c>
      <c r="F42" s="318"/>
      <c r="G42" s="124">
        <f>51*((E42/0.722)^2)*'Diameter Calc.'!$F$11/'Diameter Calc.'!$E$11</f>
        <v>315.15393072602848</v>
      </c>
      <c r="H42" s="253"/>
      <c r="I42" s="129">
        <f>G42+ ('Plate Design Part I'!$D$52+(2*25.4))+'Plate Design Part II'!$H$17</f>
        <v>438.87635737742522</v>
      </c>
      <c r="J42" s="129">
        <f t="shared" si="4"/>
        <v>464.2763573774252</v>
      </c>
      <c r="K42" s="141">
        <f>9.81/1000000*I42*'Diameter Calc.'!$E$11</f>
        <v>3.0581093298892661</v>
      </c>
      <c r="L42" s="137">
        <f t="shared" ref="L42" si="10">K42/I42*J42</f>
        <v>3.235097622089266</v>
      </c>
    </row>
    <row r="43" spans="2:12" x14ac:dyDescent="0.3">
      <c r="B43" s="220"/>
      <c r="C43" s="310"/>
      <c r="D43" s="101">
        <v>10</v>
      </c>
      <c r="E43" s="113">
        <f>'Diameter Calc.'!$O$11/'Plate Design Part I'!I19</f>
        <v>37.096445725418839</v>
      </c>
      <c r="F43" s="318"/>
      <c r="G43" s="123">
        <f>51*((E43/0.74)^2)*'Diameter Calc.'!$F$11/'Diameter Calc.'!$E$11</f>
        <v>507.01451012701267</v>
      </c>
      <c r="H43" s="253"/>
      <c r="I43" s="128">
        <f>G43+ ('Plate Design Part I'!$D$52+(2*25.4))+'Plate Design Part II'!$H$17</f>
        <v>630.73693677840947</v>
      </c>
      <c r="J43" s="128">
        <f t="shared" si="4"/>
        <v>656.13693677840945</v>
      </c>
      <c r="K43" s="136">
        <f>9.81/1000000*I43*'Diameter Calc.'!$E$11</f>
        <v>4.3950020971602388</v>
      </c>
      <c r="L43" s="137">
        <f t="shared" si="5"/>
        <v>4.5719903893602387</v>
      </c>
    </row>
    <row r="44" spans="2:12" x14ac:dyDescent="0.3">
      <c r="B44" s="323"/>
      <c r="C44" s="310"/>
      <c r="D44" s="116">
        <v>7</v>
      </c>
      <c r="E44" s="118">
        <f>'Diameter Calc.'!$O$11/'Plate Design Part I'!I20</f>
        <v>52.994922464884056</v>
      </c>
      <c r="F44" s="319"/>
      <c r="G44" s="125">
        <f>51*((E44/0.709)^2)*'Diameter Calc.'!$F$11/'Diameter Calc.'!$E$11</f>
        <v>1127.185199269891</v>
      </c>
      <c r="H44" s="253"/>
      <c r="I44" s="130">
        <f>G44+ ('Plate Design Part I'!$D$52+(2*25.4))+'Plate Design Part II'!$H$17</f>
        <v>1250.9076259212877</v>
      </c>
      <c r="J44" s="130">
        <f t="shared" si="4"/>
        <v>1276.3076259212878</v>
      </c>
      <c r="K44" s="138">
        <f>9.81/1000000*I44*'Diameter Calc.'!$E$11</f>
        <v>8.7163781264474469</v>
      </c>
      <c r="L44" s="139">
        <f t="shared" si="5"/>
        <v>8.8933664186474477</v>
      </c>
    </row>
    <row r="47" spans="2:12" ht="15.6" x14ac:dyDescent="0.3">
      <c r="B47" s="324" t="s">
        <v>138</v>
      </c>
      <c r="C47" s="325"/>
      <c r="D47" s="325"/>
      <c r="E47" s="325"/>
      <c r="F47" s="325"/>
      <c r="G47" s="325"/>
      <c r="H47" s="325"/>
      <c r="I47" s="325"/>
      <c r="J47" s="325"/>
      <c r="K47" s="325"/>
      <c r="L47" s="326"/>
    </row>
    <row r="48" spans="2:12" ht="43.2" x14ac:dyDescent="0.3">
      <c r="B48" s="64"/>
      <c r="C48" s="142" t="s">
        <v>139</v>
      </c>
      <c r="D48" s="142" t="s">
        <v>140</v>
      </c>
      <c r="E48" s="142" t="s">
        <v>141</v>
      </c>
      <c r="F48" s="142" t="s">
        <v>142</v>
      </c>
      <c r="G48" s="142" t="s">
        <v>143</v>
      </c>
      <c r="H48" s="143" t="s">
        <v>162</v>
      </c>
      <c r="I48" s="143" t="s">
        <v>161</v>
      </c>
      <c r="J48" s="143" t="s">
        <v>137</v>
      </c>
      <c r="K48" s="144" t="s">
        <v>159</v>
      </c>
      <c r="L48" s="144" t="s">
        <v>160</v>
      </c>
    </row>
    <row r="49" spans="2:12" ht="14.4" customHeight="1" x14ac:dyDescent="0.3">
      <c r="B49" s="252" t="s">
        <v>100</v>
      </c>
      <c r="C49" s="102">
        <f>2*25.4</f>
        <v>50.8</v>
      </c>
      <c r="D49" s="102">
        <f>C49-10</f>
        <v>40.799999999999997</v>
      </c>
      <c r="E49" s="102">
        <f>'Plate Design Part I'!$G$6/1000*'Plate Design Part II'!D49</f>
        <v>2.5269626879999996E-2</v>
      </c>
      <c r="F49" s="330">
        <f>'Plate Design Part I'!F6</f>
        <v>6.2264215031500515E-2</v>
      </c>
      <c r="G49" s="102">
        <f>166*('Diameter Calc.'!$N$11/'Plate Design Part II'!E49)^2</f>
        <v>22.623567695774515</v>
      </c>
      <c r="H49" s="134">
        <f>('Plate Design Part I'!$D$35+'Plate Design Part II'!C49)+I17+'Plate Design Part II'!G49</f>
        <v>695.10363434407202</v>
      </c>
      <c r="I49" s="135">
        <f>('Plate Design Part I'!$D$35+C49)+I18+G49</f>
        <v>1029.4992045965498</v>
      </c>
      <c r="J49" s="113">
        <f>24*25.4+'Plate Design Part II'!C49</f>
        <v>660.39999999999986</v>
      </c>
      <c r="K49" s="136">
        <f>$F$49*H57/'Diameter Calc.'!$N$11/1000</f>
        <v>3.5554239870967366</v>
      </c>
      <c r="L49" s="137">
        <f>$F$49*I57/'Diameter Calc.'!$N$11/1000</f>
        <v>4.7354741887278573</v>
      </c>
    </row>
    <row r="50" spans="2:12" x14ac:dyDescent="0.3">
      <c r="B50" s="252"/>
      <c r="C50" s="20">
        <f>3*25.4</f>
        <v>76.199999999999989</v>
      </c>
      <c r="D50" s="20">
        <f>C50-10</f>
        <v>66.199999999999989</v>
      </c>
      <c r="E50" s="20">
        <f>'Plate Design Part I'!$G$6/1000*'Plate Design Part II'!D50</f>
        <v>4.1001208319999989E-2</v>
      </c>
      <c r="F50" s="330"/>
      <c r="G50" s="20">
        <f>166*('Diameter Calc.'!$N$11/'Plate Design Part II'!E50)^2</f>
        <v>8.5934081765167551</v>
      </c>
      <c r="H50" s="136">
        <f>('Plate Design Part I'!$D$35+'Plate Design Part II'!C50)+J17+'Plate Design Part II'!G50</f>
        <v>731.87347482481414</v>
      </c>
      <c r="I50" s="137">
        <f>('Plate Design Part I'!$D$35+C50)+J18+G50</f>
        <v>1066.269045077292</v>
      </c>
      <c r="J50" s="41">
        <f>24*25.4+'Plate Design Part II'!C50</f>
        <v>685.8</v>
      </c>
      <c r="K50" s="136">
        <f>$F$49*H58/'Diameter Calc.'!$N$11/1000</f>
        <v>3.8204946405210776</v>
      </c>
      <c r="L50" s="137">
        <f>$F$49*I58/'Diameter Calc.'!$N$11/1000</f>
        <v>5.0005448421521983</v>
      </c>
    </row>
    <row r="51" spans="2:12" ht="14.4" customHeight="1" x14ac:dyDescent="0.3">
      <c r="B51" s="252" t="s">
        <v>101</v>
      </c>
      <c r="C51" s="102">
        <f>2*25.4</f>
        <v>50.8</v>
      </c>
      <c r="D51" s="102">
        <f>C51-10</f>
        <v>40.799999999999997</v>
      </c>
      <c r="E51" s="102">
        <f>'Plate Design Part I'!$I$6/1000*'Plate Design Part II'!D51</f>
        <v>2.5999196159999995E-2</v>
      </c>
      <c r="F51" s="320">
        <f>'Plate Design Part I'!H6</f>
        <v>7.2641584203417278E-2</v>
      </c>
      <c r="G51" s="102">
        <f>166*('Diameter Calc.'!$N$11/'Plate Design Part II'!E51)^2</f>
        <v>21.371692200426409</v>
      </c>
      <c r="H51" s="136">
        <f>('Plate Design Part I'!$D$38+'Plate Design Part II'!C51)+I20+'Plate Design Part II'!G51</f>
        <v>740.8126528625005</v>
      </c>
      <c r="I51" s="137">
        <f>('Plate Design Part I'!$D$38+C51)+I21+G51</f>
        <v>1113.3953715697367</v>
      </c>
      <c r="J51" s="113">
        <f>24*25.4+'Plate Design Part II'!C51</f>
        <v>660.39999999999986</v>
      </c>
      <c r="K51" s="136">
        <f>$F$51*H59/'Diameter Calc.'!$N$11/1000</f>
        <v>4.3753102299629152</v>
      </c>
      <c r="L51" s="137">
        <f>$F$51*I59/'Diameter Calc.'!$N$11/1000</f>
        <v>5.9044842813041587</v>
      </c>
    </row>
    <row r="52" spans="2:12" x14ac:dyDescent="0.3">
      <c r="B52" s="252"/>
      <c r="C52" s="42">
        <f>3*25.4</f>
        <v>76.199999999999989</v>
      </c>
      <c r="D52" s="42">
        <f>C52-10</f>
        <v>66.199999999999989</v>
      </c>
      <c r="E52" s="42">
        <f>'Plate Design Part I'!$I$6/1000*'Plate Design Part II'!D52</f>
        <v>4.2184970239999987E-2</v>
      </c>
      <c r="F52" s="321"/>
      <c r="G52" s="42">
        <f>166*('Diameter Calc.'!$N$11/'Plate Design Part II'!E52)^2</f>
        <v>8.1178917919053841</v>
      </c>
      <c r="H52" s="138">
        <f>('Plate Design Part I'!$D$38+'Plate Design Part II'!C52)+J20+'Plate Design Part II'!G52</f>
        <v>778.35885245397947</v>
      </c>
      <c r="I52" s="139">
        <f>('Plate Design Part I'!$D$38+C52)+J21+G52</f>
        <v>1150.9415711612155</v>
      </c>
      <c r="J52" s="151">
        <f>24*25.4+'Plate Design Part II'!C52</f>
        <v>685.8</v>
      </c>
      <c r="K52" s="138">
        <f>$F$51*H60/'Diameter Calc.'!$N$11/1000</f>
        <v>4.6893359114317441</v>
      </c>
      <c r="L52" s="139">
        <f>$F$51*I60/'Diameter Calc.'!$N$11/1000</f>
        <v>6.2185099627729876</v>
      </c>
    </row>
    <row r="55" spans="2:12" ht="15.6" x14ac:dyDescent="0.3">
      <c r="B55" s="328" t="s">
        <v>144</v>
      </c>
      <c r="C55" s="329"/>
      <c r="D55" s="329"/>
      <c r="E55" s="329"/>
      <c r="F55" s="329"/>
      <c r="G55" s="329"/>
      <c r="H55" s="329"/>
      <c r="I55" s="329"/>
      <c r="J55" s="329"/>
      <c r="K55" s="329"/>
      <c r="L55" s="329"/>
    </row>
    <row r="56" spans="2:12" ht="43.2" x14ac:dyDescent="0.3">
      <c r="B56" s="64"/>
      <c r="C56" s="94" t="s">
        <v>139</v>
      </c>
      <c r="D56" s="164" t="s">
        <v>140</v>
      </c>
      <c r="E56" s="164" t="s">
        <v>141</v>
      </c>
      <c r="F56" s="164" t="s">
        <v>142</v>
      </c>
      <c r="G56" s="164" t="s">
        <v>143</v>
      </c>
      <c r="H56" s="143" t="s">
        <v>162</v>
      </c>
      <c r="I56" s="143" t="s">
        <v>161</v>
      </c>
      <c r="J56" s="143" t="s">
        <v>137</v>
      </c>
      <c r="K56" s="163" t="s">
        <v>159</v>
      </c>
      <c r="L56" s="163" t="s">
        <v>160</v>
      </c>
    </row>
    <row r="57" spans="2:12" x14ac:dyDescent="0.3">
      <c r="B57" s="252" t="s">
        <v>100</v>
      </c>
      <c r="C57" s="102">
        <f>2*25.4</f>
        <v>50.8</v>
      </c>
      <c r="D57" s="102">
        <f>C57-10</f>
        <v>40.799999999999997</v>
      </c>
      <c r="E57" s="102">
        <f>'Plate Design Part I'!$G$7/1000*'Plate Design Part II'!D57</f>
        <v>2.8428330239999997E-2</v>
      </c>
      <c r="F57" s="330">
        <f>'Plate Design Part I'!F7</f>
        <v>7.8803147149242844E-2</v>
      </c>
      <c r="G57" s="102">
        <f>166*('Diameter Calc.'!$N$11/'Plate Design Part II'!E57)^2</f>
        <v>17.87541151271072</v>
      </c>
      <c r="H57" s="134">
        <f>('Plate Design Part I'!$D$49+'Plate Design Part II'!C57)+I39+'Plate Design Part II'!G57</f>
        <v>532.69450014097504</v>
      </c>
      <c r="I57" s="135">
        <f>('Plate Design Part I'!$D$35+C57)+I40+G57</f>
        <v>709.49655091761099</v>
      </c>
      <c r="J57" s="113">
        <f>18*25.4+'Plate Design Part II'!C57</f>
        <v>508</v>
      </c>
      <c r="K57" s="136">
        <f>$F$57*H57/'Diameter Calc.'!$N$11/1000</f>
        <v>4.499833483669307</v>
      </c>
      <c r="L57" s="153">
        <f>$F$57*I57/'Diameter Calc.'!$N$11/1000</f>
        <v>5.9933345201086947</v>
      </c>
    </row>
    <row r="58" spans="2:12" x14ac:dyDescent="0.3">
      <c r="B58" s="252"/>
      <c r="C58" s="20">
        <f>3*25.4</f>
        <v>76.199999999999989</v>
      </c>
      <c r="D58" s="20">
        <f>C58-10</f>
        <v>66.199999999999989</v>
      </c>
      <c r="E58" s="20">
        <f>'Plate Design Part I'!$G$7/1000*'Plate Design Part II'!D58</f>
        <v>4.6126359359999987E-2</v>
      </c>
      <c r="F58" s="330"/>
      <c r="G58" s="20">
        <f>166*('Diameter Calc.'!$N$11/'Plate Design Part II'!E58)^2</f>
        <v>6.7898533740379312</v>
      </c>
      <c r="H58" s="136">
        <f>('Plate Design Part I'!$D$49+'Plate Design Part II'!C58)+J39+'Plate Design Part II'!G58</f>
        <v>572.40894200230218</v>
      </c>
      <c r="I58" s="137">
        <f>('Plate Design Part I'!$D$35+C58)+J40+G58</f>
        <v>749.21099277893813</v>
      </c>
      <c r="J58" s="41">
        <f>24*25.4+'Plate Design Part II'!C58</f>
        <v>685.8</v>
      </c>
      <c r="K58" s="136">
        <f>$F$57*H58/'Diameter Calc.'!$N$11/1000</f>
        <v>4.8353135294094889</v>
      </c>
      <c r="L58" s="153">
        <f>$F$57*I58/'Diameter Calc.'!$N$11/1000</f>
        <v>6.3288145658488766</v>
      </c>
    </row>
    <row r="59" spans="2:12" x14ac:dyDescent="0.3">
      <c r="B59" s="252" t="s">
        <v>101</v>
      </c>
      <c r="C59" s="102">
        <f>2*25.4</f>
        <v>50.8</v>
      </c>
      <c r="D59" s="102">
        <f>C59-10</f>
        <v>40.799999999999997</v>
      </c>
      <c r="E59" s="102">
        <f>'Plate Design Part I'!$I$7/1000*'Plate Design Part II'!D59</f>
        <v>2.924909568E-2</v>
      </c>
      <c r="F59" s="320">
        <f>'Plate Design Part I'!H7</f>
        <v>9.1937005007450001E-2</v>
      </c>
      <c r="G59" s="102">
        <f>166*('Diameter Calc.'!$N$11/'Plate Design Part II'!E59)^2</f>
        <v>16.886275318855429</v>
      </c>
      <c r="H59" s="141">
        <f>('Plate Design Part I'!$D$52+'Plate Design Part II'!C59)+I42+'Plate Design Part II'!G59</f>
        <v>561.8868614031469</v>
      </c>
      <c r="I59" s="137">
        <f>('Plate Design Part I'!$D$38+C59)+I43+G59</f>
        <v>758.26672090731483</v>
      </c>
      <c r="J59" s="113">
        <f>24*25.4+'Plate Design Part II'!C59</f>
        <v>660.39999999999986</v>
      </c>
      <c r="K59" s="141">
        <f>$F$59*H59/'Diameter Calc.'!$N$11/1000</f>
        <v>5.5375020097968148</v>
      </c>
      <c r="L59" s="153">
        <f>$F$59*I59/'Diameter Calc.'!$N$11/1000</f>
        <v>7.4728629185255766</v>
      </c>
    </row>
    <row r="60" spans="2:12" x14ac:dyDescent="0.3">
      <c r="B60" s="252"/>
      <c r="C60" s="42">
        <f>3*25.4</f>
        <v>76.199999999999989</v>
      </c>
      <c r="D60" s="42">
        <f>C60-10</f>
        <v>66.199999999999989</v>
      </c>
      <c r="E60" s="42">
        <f>'Plate Design Part I'!$I$7/1000*'Plate Design Part II'!D60</f>
        <v>4.7458091519999995E-2</v>
      </c>
      <c r="F60" s="321"/>
      <c r="G60" s="42">
        <f>166*('Diameter Calc.'!$N$11/'Plate Design Part II'!E60)^2</f>
        <v>6.4141367244684497</v>
      </c>
      <c r="H60" s="138">
        <f>('Plate Design Part I'!$D$52+'Plate Design Part II'!C60)+J42+'Plate Design Part II'!G60</f>
        <v>602.21472280875992</v>
      </c>
      <c r="I60" s="139">
        <f>('Plate Design Part I'!$D$38+C60)+J43+G60</f>
        <v>798.59458231292786</v>
      </c>
      <c r="J60" s="151">
        <f>24*25.4+'Plate Design Part II'!C60</f>
        <v>685.8</v>
      </c>
      <c r="K60" s="138">
        <f>$F$59*H60/'Diameter Calc.'!$N$11/1000</f>
        <v>5.9349407629058026</v>
      </c>
      <c r="L60" s="154">
        <f>$F$59*I60/'Diameter Calc.'!$N$11/1000</f>
        <v>7.8703016716345644</v>
      </c>
    </row>
    <row r="63" spans="2:12" ht="15.6" x14ac:dyDescent="0.3">
      <c r="B63" s="216" t="s">
        <v>158</v>
      </c>
      <c r="C63" s="217"/>
      <c r="D63" s="217"/>
      <c r="E63" s="217"/>
      <c r="F63" s="218"/>
      <c r="H63" s="309" t="s">
        <v>309</v>
      </c>
      <c r="I63" s="308" t="s">
        <v>310</v>
      </c>
      <c r="J63" s="308"/>
    </row>
    <row r="64" spans="2:12" ht="16.2" x14ac:dyDescent="0.3">
      <c r="B64" s="140" t="s">
        <v>155</v>
      </c>
      <c r="C64" s="99" t="s">
        <v>156</v>
      </c>
      <c r="D64" s="99" t="s">
        <v>153</v>
      </c>
      <c r="E64" s="99" t="s">
        <v>157</v>
      </c>
      <c r="F64" s="147" t="s">
        <v>154</v>
      </c>
      <c r="H64" s="309"/>
      <c r="I64" s="308" t="s">
        <v>311</v>
      </c>
      <c r="J64" s="308"/>
    </row>
    <row r="65" spans="2:10" x14ac:dyDescent="0.3">
      <c r="B65" s="148">
        <f>'Plate Design Part I'!C7-'Plate Design Part I'!H7</f>
        <v>0.56475588790290709</v>
      </c>
      <c r="C65" s="150">
        <f>'Diameter Calc.'!O8/B65</f>
        <v>3.3942661899656232</v>
      </c>
      <c r="D65" s="150">
        <f>C65/'Diameter Calc.'!K8*100</f>
        <v>73.611966497588512</v>
      </c>
      <c r="E65" s="150">
        <f>'Diameter Calc.'!G8</f>
        <v>7.4160460705840398E-2</v>
      </c>
      <c r="F65" s="149">
        <v>2.5000000000000001E-2</v>
      </c>
      <c r="H65" s="309"/>
      <c r="I65" s="308" t="s">
        <v>312</v>
      </c>
      <c r="J65" s="308"/>
    </row>
    <row r="66" spans="2:10" x14ac:dyDescent="0.3">
      <c r="H66" s="309"/>
      <c r="I66" s="308" t="s">
        <v>313</v>
      </c>
      <c r="J66" s="308"/>
    </row>
  </sheetData>
  <mergeCells count="44">
    <mergeCell ref="B59:B60"/>
    <mergeCell ref="F59:F60"/>
    <mergeCell ref="H11:H16"/>
    <mergeCell ref="H5:H10"/>
    <mergeCell ref="H17:H22"/>
    <mergeCell ref="B55:L55"/>
    <mergeCell ref="B57:B58"/>
    <mergeCell ref="F57:F58"/>
    <mergeCell ref="F5:F22"/>
    <mergeCell ref="C20:C22"/>
    <mergeCell ref="C17:C19"/>
    <mergeCell ref="C14:C16"/>
    <mergeCell ref="C11:C13"/>
    <mergeCell ref="B51:B52"/>
    <mergeCell ref="B49:B50"/>
    <mergeCell ref="F49:F50"/>
    <mergeCell ref="F51:F52"/>
    <mergeCell ref="B27:B32"/>
    <mergeCell ref="B47:L47"/>
    <mergeCell ref="B33:B38"/>
    <mergeCell ref="B39:B44"/>
    <mergeCell ref="H39:H44"/>
    <mergeCell ref="H33:H38"/>
    <mergeCell ref="B3:L3"/>
    <mergeCell ref="B25:L25"/>
    <mergeCell ref="C8:C10"/>
    <mergeCell ref="C5:C7"/>
    <mergeCell ref="B63:F63"/>
    <mergeCell ref="B17:B22"/>
    <mergeCell ref="B11:B16"/>
    <mergeCell ref="B5:B10"/>
    <mergeCell ref="H27:H32"/>
    <mergeCell ref="C42:C44"/>
    <mergeCell ref="C39:C41"/>
    <mergeCell ref="C36:C38"/>
    <mergeCell ref="C33:C35"/>
    <mergeCell ref="C30:C32"/>
    <mergeCell ref="C27:C29"/>
    <mergeCell ref="F27:F44"/>
    <mergeCell ref="I63:J63"/>
    <mergeCell ref="I64:J64"/>
    <mergeCell ref="I65:J65"/>
    <mergeCell ref="I66:J66"/>
    <mergeCell ref="H63:H66"/>
  </mergeCells>
  <conditionalFormatting sqref="H49:I52 H57:I58 H60:I60 I59">
    <cfRule type="cellIs" dxfId="17" priority="3" operator="lessThan">
      <formula>573</formula>
    </cfRule>
  </conditionalFormatting>
  <conditionalFormatting sqref="K49:L52 K57:L58 K60:L60 L59">
    <cfRule type="cellIs" dxfId="16" priority="2" operator="lessThan">
      <formula>6</formula>
    </cfRule>
  </conditionalFormatting>
  <conditionalFormatting sqref="K5:L22 K27:L29 K43:L44 L42 K31:L35 L30 K37:L41 L36">
    <cfRule type="cellIs" dxfId="15" priority="1" operator="lessThan">
      <formula>3.5</formula>
    </cfRule>
  </conditionalFormatting>
  <pageMargins left="0.7" right="0.7" top="0.75" bottom="0.75" header="0.3" footer="0.3"/>
  <pageSetup orientation="portrait" r:id="rId1"/>
  <ignoredErrors>
    <ignoredError sqref="G21 G7 G9:G10 G13 G16 G18:G19 G29 G35 G41 C50 C58" formula="1"/>
  </ignoredErrors>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F40B8-0DA3-4679-A312-F4E78E6A2642}">
  <dimension ref="B3:M28"/>
  <sheetViews>
    <sheetView zoomScale="80" zoomScaleNormal="80" workbookViewId="0"/>
  </sheetViews>
  <sheetFormatPr defaultRowHeight="14.4" x14ac:dyDescent="0.3"/>
  <cols>
    <col min="1" max="1" width="8.88671875" style="184"/>
    <col min="2" max="2" width="15.44140625" style="184" customWidth="1"/>
    <col min="3" max="3" width="12.21875" style="184" customWidth="1"/>
    <col min="4" max="4" width="15.77734375" style="184" customWidth="1"/>
    <col min="5" max="5" width="19.21875" style="184" customWidth="1"/>
    <col min="6" max="6" width="13.44140625" style="184" customWidth="1"/>
    <col min="7" max="7" width="10.109375" style="184" customWidth="1"/>
    <col min="8" max="8" width="13.21875" style="184" customWidth="1"/>
    <col min="9" max="9" width="11.6640625" style="184" customWidth="1"/>
    <col min="10" max="10" width="10.88671875" style="184" customWidth="1"/>
    <col min="11" max="11" width="8.88671875" style="184"/>
    <col min="12" max="12" width="9.21875" style="184" customWidth="1"/>
    <col min="13" max="16384" width="8.88671875" style="184"/>
  </cols>
  <sheetData>
    <row r="3" spans="2:13" ht="15.6" x14ac:dyDescent="0.3">
      <c r="B3" s="336" t="s">
        <v>165</v>
      </c>
      <c r="C3" s="336"/>
      <c r="D3" s="336"/>
      <c r="E3" s="336"/>
      <c r="F3" s="336"/>
      <c r="G3" s="336"/>
      <c r="H3" s="336"/>
      <c r="I3" s="336"/>
      <c r="J3" s="336"/>
      <c r="K3" s="336"/>
      <c r="L3" s="336"/>
      <c r="M3" s="336"/>
    </row>
    <row r="4" spans="2:13" ht="15.6" x14ac:dyDescent="0.3">
      <c r="B4" s="94" t="s">
        <v>0</v>
      </c>
      <c r="C4" s="94" t="s">
        <v>166</v>
      </c>
      <c r="D4" s="94" t="s">
        <v>163</v>
      </c>
      <c r="E4" s="94" t="s">
        <v>164</v>
      </c>
      <c r="F4" s="94" t="s">
        <v>114</v>
      </c>
      <c r="G4" s="94" t="s">
        <v>167</v>
      </c>
      <c r="H4" s="94" t="s">
        <v>168</v>
      </c>
      <c r="I4" s="94" t="s">
        <v>169</v>
      </c>
      <c r="J4" s="94" t="s">
        <v>170</v>
      </c>
      <c r="K4" s="94" t="s">
        <v>171</v>
      </c>
      <c r="L4" s="94" t="s">
        <v>172</v>
      </c>
      <c r="M4" s="94" t="s">
        <v>173</v>
      </c>
    </row>
    <row r="5" spans="2:13" ht="16.2" x14ac:dyDescent="0.3">
      <c r="B5" s="94" t="s">
        <v>31</v>
      </c>
      <c r="C5" s="101" t="s">
        <v>66</v>
      </c>
      <c r="D5" s="100" t="s">
        <v>66</v>
      </c>
      <c r="E5" s="101"/>
      <c r="F5" s="100"/>
      <c r="G5" s="101" t="s">
        <v>131</v>
      </c>
      <c r="H5" s="100" t="s">
        <v>104</v>
      </c>
      <c r="I5" s="101" t="s">
        <v>104</v>
      </c>
      <c r="J5" s="100" t="s">
        <v>66</v>
      </c>
      <c r="K5" s="101" t="s">
        <v>104</v>
      </c>
      <c r="L5" s="100" t="s">
        <v>104</v>
      </c>
      <c r="M5" s="101" t="s">
        <v>66</v>
      </c>
    </row>
    <row r="6" spans="2:13" x14ac:dyDescent="0.3">
      <c r="B6" s="94" t="s">
        <v>30</v>
      </c>
      <c r="C6" s="132">
        <f>'Plate Design Part I'!B7</f>
        <v>0.91439999999999999</v>
      </c>
      <c r="D6" s="133">
        <f>24*2.54/100</f>
        <v>0.60960000000000003</v>
      </c>
      <c r="E6" s="155">
        <v>0.14000000000000001</v>
      </c>
      <c r="F6" s="156">
        <v>0.13</v>
      </c>
      <c r="G6" s="132">
        <f>2*25.4</f>
        <v>50.8</v>
      </c>
      <c r="H6" s="133">
        <f>'Plate Design Part I'!C7</f>
        <v>0.65669289291035704</v>
      </c>
      <c r="I6" s="132">
        <f>'Plate Design Part I'!H7</f>
        <v>9.1937005007450001E-2</v>
      </c>
      <c r="J6" s="133">
        <f>'Plate Design Part I'!I7</f>
        <v>0.71688960000000002</v>
      </c>
      <c r="K6" s="132">
        <f>'Plate Design Part I'!H18</f>
        <v>0.47281888289545704</v>
      </c>
      <c r="L6" s="133">
        <f>'Plate Design Part I'!I18</f>
        <v>6.1466454776409413E-2</v>
      </c>
      <c r="M6" s="101">
        <f>Properties!N10/1000</f>
        <v>1.2699999999999999E-2</v>
      </c>
    </row>
    <row r="9" spans="2:13" ht="15.6" x14ac:dyDescent="0.3">
      <c r="B9" s="225" t="s">
        <v>194</v>
      </c>
      <c r="C9" s="225"/>
      <c r="D9" s="225"/>
      <c r="E9" s="225"/>
      <c r="F9" s="225"/>
      <c r="G9" s="225"/>
      <c r="H9" s="225"/>
      <c r="I9" s="225"/>
      <c r="J9" s="225"/>
    </row>
    <row r="10" spans="2:13" x14ac:dyDescent="0.3">
      <c r="B10" s="94" t="s">
        <v>0</v>
      </c>
      <c r="C10" s="94" t="s">
        <v>30</v>
      </c>
      <c r="D10" s="94" t="s">
        <v>31</v>
      </c>
      <c r="E10" s="338" t="s">
        <v>32</v>
      </c>
      <c r="F10" s="338"/>
      <c r="G10" s="338"/>
      <c r="H10" s="338"/>
      <c r="I10" s="338"/>
      <c r="J10" s="338"/>
    </row>
    <row r="11" spans="2:13" ht="15.6" x14ac:dyDescent="0.3">
      <c r="B11" s="116" t="s">
        <v>174</v>
      </c>
      <c r="C11" s="116">
        <f>J6/C6</f>
        <v>0.78400000000000003</v>
      </c>
      <c r="D11" s="116"/>
      <c r="E11" s="335" t="s">
        <v>188</v>
      </c>
      <c r="F11" s="335"/>
      <c r="G11" s="335"/>
      <c r="H11" s="335"/>
      <c r="I11" s="335"/>
      <c r="J11" s="335"/>
      <c r="K11" s="204"/>
    </row>
    <row r="12" spans="2:13" ht="15.6" x14ac:dyDescent="0.3">
      <c r="B12" s="158" t="s">
        <v>175</v>
      </c>
      <c r="C12" s="100">
        <v>100</v>
      </c>
      <c r="D12" s="100" t="s">
        <v>178</v>
      </c>
      <c r="E12" s="337" t="s">
        <v>189</v>
      </c>
      <c r="F12" s="337"/>
      <c r="G12" s="337"/>
      <c r="H12" s="337"/>
      <c r="I12" s="337"/>
      <c r="J12" s="337"/>
    </row>
    <row r="13" spans="2:13" ht="15.6" x14ac:dyDescent="0.3">
      <c r="B13" s="162" t="s">
        <v>177</v>
      </c>
      <c r="C13" s="116">
        <f>180-C12</f>
        <v>80</v>
      </c>
      <c r="D13" s="116" t="s">
        <v>178</v>
      </c>
      <c r="E13" s="334" t="s">
        <v>190</v>
      </c>
      <c r="F13" s="335"/>
      <c r="G13" s="335"/>
      <c r="H13" s="335"/>
      <c r="I13" s="335"/>
      <c r="J13" s="335"/>
    </row>
    <row r="14" spans="2:13" ht="15.6" x14ac:dyDescent="0.3">
      <c r="B14" s="158" t="s">
        <v>202</v>
      </c>
      <c r="C14" s="133">
        <f>0.188*C6</f>
        <v>0.17190720000000001</v>
      </c>
      <c r="D14" s="100" t="s">
        <v>66</v>
      </c>
      <c r="E14" s="339" t="s">
        <v>203</v>
      </c>
      <c r="F14" s="340"/>
      <c r="G14" s="340"/>
      <c r="H14" s="340"/>
      <c r="I14" s="340"/>
      <c r="J14" s="341"/>
    </row>
    <row r="15" spans="2:13" x14ac:dyDescent="0.3">
      <c r="B15" s="157" t="s">
        <v>180</v>
      </c>
      <c r="C15" s="157">
        <v>0.05</v>
      </c>
      <c r="D15" s="157" t="s">
        <v>66</v>
      </c>
      <c r="E15" s="333" t="s">
        <v>191</v>
      </c>
      <c r="F15" s="333"/>
      <c r="G15" s="333"/>
      <c r="H15" s="333"/>
      <c r="I15" s="333"/>
      <c r="J15" s="333"/>
    </row>
    <row r="16" spans="2:13" ht="15.6" x14ac:dyDescent="0.3">
      <c r="B16" s="100" t="s">
        <v>176</v>
      </c>
      <c r="C16" s="160">
        <f>(C6-C15)*PI()*C13/180</f>
        <v>1.2069300843391186</v>
      </c>
      <c r="D16" s="100" t="s">
        <v>66</v>
      </c>
      <c r="E16" s="337" t="s">
        <v>195</v>
      </c>
      <c r="F16" s="337"/>
      <c r="G16" s="337"/>
      <c r="H16" s="337"/>
      <c r="I16" s="337"/>
      <c r="J16" s="337"/>
    </row>
    <row r="17" spans="2:10" ht="16.2" x14ac:dyDescent="0.3">
      <c r="B17" s="157" t="s">
        <v>179</v>
      </c>
      <c r="C17" s="161">
        <f>C16*C15</f>
        <v>6.0346504216955935E-2</v>
      </c>
      <c r="D17" s="157" t="s">
        <v>104</v>
      </c>
      <c r="E17" s="333" t="s">
        <v>196</v>
      </c>
      <c r="F17" s="333"/>
      <c r="G17" s="333"/>
      <c r="H17" s="333"/>
      <c r="I17" s="333"/>
      <c r="J17" s="333"/>
    </row>
    <row r="18" spans="2:10" ht="15.6" x14ac:dyDescent="0.3">
      <c r="B18" s="100" t="s">
        <v>181</v>
      </c>
      <c r="C18" s="133">
        <f>J6+C15</f>
        <v>0.76688960000000006</v>
      </c>
      <c r="D18" s="100" t="s">
        <v>66</v>
      </c>
      <c r="E18" s="337" t="s">
        <v>197</v>
      </c>
      <c r="F18" s="337"/>
      <c r="G18" s="337"/>
      <c r="H18" s="337"/>
      <c r="I18" s="337"/>
      <c r="J18" s="337"/>
    </row>
    <row r="19" spans="2:10" ht="16.2" x14ac:dyDescent="0.3">
      <c r="B19" s="157" t="s">
        <v>182</v>
      </c>
      <c r="C19" s="161">
        <f>2*C18*C15</f>
        <v>7.6688960000000014E-2</v>
      </c>
      <c r="D19" s="157" t="s">
        <v>104</v>
      </c>
      <c r="E19" s="333" t="s">
        <v>198</v>
      </c>
      <c r="F19" s="333"/>
      <c r="G19" s="333"/>
      <c r="H19" s="333"/>
      <c r="I19" s="333"/>
      <c r="J19" s="333"/>
    </row>
    <row r="20" spans="2:10" ht="16.2" x14ac:dyDescent="0.3">
      <c r="B20" s="100" t="s">
        <v>183</v>
      </c>
      <c r="C20" s="133">
        <f>K6-C17-C19</f>
        <v>0.33578341867850109</v>
      </c>
      <c r="D20" s="100" t="s">
        <v>104</v>
      </c>
      <c r="E20" s="337" t="s">
        <v>199</v>
      </c>
      <c r="F20" s="337"/>
      <c r="G20" s="337"/>
      <c r="H20" s="337"/>
      <c r="I20" s="337"/>
      <c r="J20" s="337"/>
    </row>
    <row r="21" spans="2:10" ht="15.6" x14ac:dyDescent="0.3">
      <c r="B21" s="157" t="s">
        <v>184</v>
      </c>
      <c r="C21" s="161">
        <f>L6/C20</f>
        <v>0.18305387150537364</v>
      </c>
      <c r="D21" s="157"/>
      <c r="E21" s="333" t="s">
        <v>192</v>
      </c>
      <c r="F21" s="333"/>
      <c r="G21" s="333"/>
      <c r="H21" s="333"/>
      <c r="I21" s="333"/>
      <c r="J21" s="333"/>
    </row>
    <row r="22" spans="2:10" ht="15.6" x14ac:dyDescent="0.3">
      <c r="B22" s="100" t="s">
        <v>185</v>
      </c>
      <c r="C22" s="152">
        <f>1/SQRT(C21*0.9)</f>
        <v>2.4637082968748083</v>
      </c>
      <c r="D22" s="100"/>
      <c r="E22" s="337" t="s">
        <v>193</v>
      </c>
      <c r="F22" s="337"/>
      <c r="G22" s="337"/>
      <c r="H22" s="337"/>
      <c r="I22" s="337"/>
      <c r="J22" s="337"/>
    </row>
    <row r="23" spans="2:10" ht="20.399999999999999" customHeight="1" x14ac:dyDescent="0.3">
      <c r="B23" s="157" t="s">
        <v>186</v>
      </c>
      <c r="C23" s="161">
        <f>(M6^2)*PI()/4</f>
        <v>1.2667686977437442E-4</v>
      </c>
      <c r="D23" s="157" t="s">
        <v>104</v>
      </c>
      <c r="E23" s="333" t="s">
        <v>200</v>
      </c>
      <c r="F23" s="333"/>
      <c r="G23" s="333"/>
      <c r="H23" s="333"/>
      <c r="I23" s="333"/>
      <c r="J23" s="333"/>
    </row>
    <row r="24" spans="2:10" ht="15.6" x14ac:dyDescent="0.3">
      <c r="B24" s="100" t="s">
        <v>187</v>
      </c>
      <c r="C24" s="159">
        <f>L6/C23</f>
        <v>485.22239999999999</v>
      </c>
      <c r="D24" s="100"/>
      <c r="E24" s="337" t="s">
        <v>201</v>
      </c>
      <c r="F24" s="337"/>
      <c r="G24" s="337"/>
      <c r="H24" s="337"/>
      <c r="I24" s="337"/>
      <c r="J24" s="337"/>
    </row>
    <row r="25" spans="2:10" ht="15.6" x14ac:dyDescent="0.3">
      <c r="B25" s="214" t="s">
        <v>340</v>
      </c>
      <c r="C25" s="343">
        <v>1.125</v>
      </c>
      <c r="D25" s="214" t="s">
        <v>67</v>
      </c>
      <c r="E25" s="335" t="s">
        <v>341</v>
      </c>
      <c r="F25" s="335"/>
      <c r="G25" s="335"/>
      <c r="H25" s="335"/>
      <c r="I25" s="335"/>
      <c r="J25" s="335"/>
    </row>
    <row r="28" spans="2:10" ht="15" customHeight="1" x14ac:dyDescent="0.3"/>
  </sheetData>
  <mergeCells count="18">
    <mergeCell ref="E25:J25"/>
    <mergeCell ref="E19:J19"/>
    <mergeCell ref="E10:J10"/>
    <mergeCell ref="B9:J9"/>
    <mergeCell ref="E11:J11"/>
    <mergeCell ref="E14:J14"/>
    <mergeCell ref="E16:J16"/>
    <mergeCell ref="E18:J18"/>
    <mergeCell ref="E24:J24"/>
    <mergeCell ref="E23:J23"/>
    <mergeCell ref="E22:J22"/>
    <mergeCell ref="E21:J21"/>
    <mergeCell ref="E20:J20"/>
    <mergeCell ref="E17:J17"/>
    <mergeCell ref="E15:J15"/>
    <mergeCell ref="E13:J13"/>
    <mergeCell ref="B3:M3"/>
    <mergeCell ref="E12:J12"/>
  </mergeCell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17870-9F0F-4016-BF96-76623DD496F3}">
  <dimension ref="B2:K57"/>
  <sheetViews>
    <sheetView zoomScale="80" zoomScaleNormal="80" workbookViewId="0"/>
  </sheetViews>
  <sheetFormatPr defaultRowHeight="14.4" x14ac:dyDescent="0.3"/>
  <cols>
    <col min="1" max="1" width="8.88671875" style="184"/>
    <col min="2" max="2" width="17.6640625" style="184" customWidth="1"/>
    <col min="3" max="3" width="13.109375" style="184" customWidth="1"/>
    <col min="4" max="4" width="8.88671875" style="184"/>
    <col min="5" max="5" width="58" style="184" customWidth="1"/>
    <col min="6" max="12" width="8.88671875" style="184"/>
    <col min="13" max="13" width="11.44140625" style="184" customWidth="1"/>
    <col min="14" max="16384" width="8.88671875" style="184"/>
  </cols>
  <sheetData>
    <row r="2" spans="2:5" ht="15.6" x14ac:dyDescent="0.3">
      <c r="B2" s="216" t="s">
        <v>217</v>
      </c>
      <c r="C2" s="217"/>
      <c r="D2" s="217"/>
      <c r="E2" s="217"/>
    </row>
    <row r="3" spans="2:5" x14ac:dyDescent="0.3">
      <c r="B3" s="175" t="s">
        <v>0</v>
      </c>
      <c r="C3" s="175" t="s">
        <v>30</v>
      </c>
      <c r="D3" s="175" t="s">
        <v>31</v>
      </c>
      <c r="E3" s="175" t="s">
        <v>32</v>
      </c>
    </row>
    <row r="4" spans="2:5" ht="15.6" x14ac:dyDescent="0.3">
      <c r="B4" s="169" t="s">
        <v>65</v>
      </c>
      <c r="C4" s="169">
        <f>'Plate Layout'!C6*1000</f>
        <v>914.4</v>
      </c>
      <c r="D4" s="169" t="s">
        <v>131</v>
      </c>
      <c r="E4" s="169" t="s">
        <v>210</v>
      </c>
    </row>
    <row r="5" spans="2:5" x14ac:dyDescent="0.3">
      <c r="B5" s="2" t="s">
        <v>204</v>
      </c>
      <c r="C5" s="2">
        <v>0.45</v>
      </c>
      <c r="D5" s="2" t="s">
        <v>205</v>
      </c>
      <c r="E5" s="2" t="s">
        <v>211</v>
      </c>
    </row>
    <row r="6" spans="2:5" x14ac:dyDescent="0.3">
      <c r="B6" s="169" t="s">
        <v>206</v>
      </c>
      <c r="C6" s="169">
        <v>1220</v>
      </c>
      <c r="D6" s="169" t="s">
        <v>207</v>
      </c>
      <c r="E6" s="169" t="s">
        <v>212</v>
      </c>
    </row>
    <row r="7" spans="2:5" x14ac:dyDescent="0.3">
      <c r="B7" s="2" t="s">
        <v>208</v>
      </c>
      <c r="C7" s="2">
        <v>0.85</v>
      </c>
      <c r="D7" s="2"/>
      <c r="E7" s="2" t="s">
        <v>213</v>
      </c>
    </row>
    <row r="8" spans="2:5" x14ac:dyDescent="0.3">
      <c r="B8" s="169" t="s">
        <v>209</v>
      </c>
      <c r="C8" s="169">
        <v>1.5</v>
      </c>
      <c r="D8" s="169" t="s">
        <v>131</v>
      </c>
      <c r="E8" s="169" t="s">
        <v>214</v>
      </c>
    </row>
    <row r="9" spans="2:5" ht="15.6" x14ac:dyDescent="0.3">
      <c r="B9" s="2" t="s">
        <v>218</v>
      </c>
      <c r="C9" s="170">
        <f>(C4*C5)/(2*C6*C7 -1.2*C5) +C8</f>
        <v>1.6984508984981626</v>
      </c>
      <c r="D9" s="2" t="s">
        <v>131</v>
      </c>
      <c r="E9" s="2" t="s">
        <v>215</v>
      </c>
    </row>
    <row r="10" spans="2:5" ht="15.6" x14ac:dyDescent="0.3">
      <c r="B10" s="169" t="s">
        <v>219</v>
      </c>
      <c r="C10" s="176">
        <f>(C4*C5)/(2*C6*C7-0.2*C5)+C8</f>
        <v>1.6984078383343539</v>
      </c>
      <c r="D10" s="169" t="s">
        <v>131</v>
      </c>
      <c r="E10" s="169" t="s">
        <v>216</v>
      </c>
    </row>
    <row r="14" spans="2:5" ht="15.6" x14ac:dyDescent="0.3">
      <c r="B14" s="328" t="s">
        <v>224</v>
      </c>
      <c r="C14" s="329"/>
      <c r="D14" s="329"/>
      <c r="E14" s="329"/>
    </row>
    <row r="15" spans="2:5" x14ac:dyDescent="0.3">
      <c r="B15" s="145" t="s">
        <v>0</v>
      </c>
      <c r="C15" s="99" t="s">
        <v>30</v>
      </c>
      <c r="D15" s="99" t="s">
        <v>31</v>
      </c>
      <c r="E15" s="99" t="s">
        <v>32</v>
      </c>
    </row>
    <row r="16" spans="2:5" x14ac:dyDescent="0.3">
      <c r="B16" s="177" t="s">
        <v>220</v>
      </c>
      <c r="C16" s="178">
        <v>150</v>
      </c>
      <c r="D16" s="178" t="s">
        <v>54</v>
      </c>
      <c r="E16" s="179" t="s">
        <v>222</v>
      </c>
    </row>
    <row r="17" spans="2:11" ht="16.2" x14ac:dyDescent="0.3">
      <c r="B17" s="38" t="s">
        <v>89</v>
      </c>
      <c r="C17" s="2">
        <f>C16*'Diameter Calc.'!M8/'Diameter Calc.'!E8/3600</f>
        <v>3.131986286846496E-3</v>
      </c>
      <c r="D17" s="2" t="s">
        <v>314</v>
      </c>
      <c r="E17" s="39" t="s">
        <v>223</v>
      </c>
    </row>
    <row r="18" spans="2:11" ht="15.6" x14ac:dyDescent="0.3">
      <c r="B18" s="168" t="s">
        <v>221</v>
      </c>
      <c r="C18" s="181">
        <v>0.1</v>
      </c>
      <c r="D18" s="169" t="s">
        <v>66</v>
      </c>
      <c r="E18" s="174" t="s">
        <v>240</v>
      </c>
    </row>
    <row r="19" spans="2:11" ht="15.6" x14ac:dyDescent="0.3">
      <c r="B19" s="38" t="s">
        <v>226</v>
      </c>
      <c r="C19" s="182">
        <f>C17/((C18^2)/4*PI())</f>
        <v>0.39877687939812051</v>
      </c>
      <c r="D19" s="2" t="s">
        <v>61</v>
      </c>
      <c r="E19" s="39" t="s">
        <v>241</v>
      </c>
      <c r="F19" s="3"/>
      <c r="G19" s="3"/>
      <c r="H19" s="3"/>
      <c r="I19" s="3"/>
      <c r="J19" s="3"/>
      <c r="K19" s="3"/>
    </row>
    <row r="20" spans="2:11" ht="15.6" x14ac:dyDescent="0.3">
      <c r="B20" s="48" t="s">
        <v>225</v>
      </c>
      <c r="C20" s="180">
        <v>300.3</v>
      </c>
      <c r="D20" s="180" t="s">
        <v>54</v>
      </c>
      <c r="E20" s="49" t="s">
        <v>234</v>
      </c>
    </row>
    <row r="21" spans="2:11" ht="16.2" x14ac:dyDescent="0.3">
      <c r="B21" s="38" t="s">
        <v>227</v>
      </c>
      <c r="C21" s="2">
        <f>C20*'Diameter Calc.'!M5/'Diameter Calc.'!F5/3600</f>
        <v>1.7819301020673077</v>
      </c>
      <c r="D21" s="2" t="s">
        <v>314</v>
      </c>
      <c r="E21" s="39" t="s">
        <v>236</v>
      </c>
    </row>
    <row r="22" spans="2:11" ht="15.6" x14ac:dyDescent="0.3">
      <c r="B22" s="38" t="s">
        <v>228</v>
      </c>
      <c r="C22" s="181">
        <v>0.5</v>
      </c>
      <c r="D22" s="2" t="s">
        <v>66</v>
      </c>
      <c r="E22" s="39" t="s">
        <v>238</v>
      </c>
    </row>
    <row r="23" spans="2:11" ht="15.6" x14ac:dyDescent="0.3">
      <c r="B23" s="40" t="s">
        <v>229</v>
      </c>
      <c r="C23" s="182">
        <f>C21/((C22^2)*PI()/4)</f>
        <v>9.0752954876242438</v>
      </c>
      <c r="D23" s="171" t="s">
        <v>61</v>
      </c>
      <c r="E23" s="173" t="s">
        <v>242</v>
      </c>
    </row>
    <row r="24" spans="2:11" ht="15.6" x14ac:dyDescent="0.3">
      <c r="B24" s="48" t="s">
        <v>230</v>
      </c>
      <c r="C24" s="180">
        <v>382.5</v>
      </c>
      <c r="D24" s="180" t="s">
        <v>54</v>
      </c>
      <c r="E24" s="49" t="s">
        <v>235</v>
      </c>
    </row>
    <row r="25" spans="2:11" ht="16.2" x14ac:dyDescent="0.3">
      <c r="B25" s="38" t="s">
        <v>231</v>
      </c>
      <c r="C25" s="2">
        <f>C24*'Diameter Calc.'!M11/'Diameter Calc.'!E11/3600</f>
        <v>9.3287903280304101E-3</v>
      </c>
      <c r="D25" s="2" t="s">
        <v>314</v>
      </c>
      <c r="E25" s="39" t="s">
        <v>237</v>
      </c>
    </row>
    <row r="26" spans="2:11" ht="15.6" x14ac:dyDescent="0.3">
      <c r="B26" s="38" t="s">
        <v>232</v>
      </c>
      <c r="C26" s="181">
        <v>0.1</v>
      </c>
      <c r="D26" s="2" t="s">
        <v>66</v>
      </c>
      <c r="E26" s="39" t="s">
        <v>239</v>
      </c>
    </row>
    <row r="27" spans="2:11" ht="15.6" x14ac:dyDescent="0.3">
      <c r="B27" s="40" t="s">
        <v>233</v>
      </c>
      <c r="C27" s="182">
        <f>C25/((C26^2)/4*PI())</f>
        <v>1.1877784750191227</v>
      </c>
      <c r="D27" s="171" t="s">
        <v>61</v>
      </c>
      <c r="E27" s="173" t="s">
        <v>243</v>
      </c>
    </row>
    <row r="30" spans="2:11" ht="15.6" x14ac:dyDescent="0.3">
      <c r="B30" s="241" t="s">
        <v>281</v>
      </c>
      <c r="C30" s="241"/>
      <c r="D30" s="241"/>
      <c r="E30" s="241"/>
    </row>
    <row r="31" spans="2:11" x14ac:dyDescent="0.3">
      <c r="B31" s="36" t="s">
        <v>0</v>
      </c>
      <c r="C31" s="36" t="s">
        <v>30</v>
      </c>
      <c r="D31" s="36" t="s">
        <v>31</v>
      </c>
      <c r="E31" s="36" t="s">
        <v>32</v>
      </c>
    </row>
    <row r="32" spans="2:11" ht="15.6" x14ac:dyDescent="0.3">
      <c r="B32" s="183" t="s">
        <v>218</v>
      </c>
      <c r="C32" s="167">
        <v>3</v>
      </c>
      <c r="D32" s="36" t="s">
        <v>131</v>
      </c>
      <c r="E32" s="36" t="s">
        <v>264</v>
      </c>
    </row>
    <row r="33" spans="2:11" ht="15.6" x14ac:dyDescent="0.3">
      <c r="B33" s="36" t="s">
        <v>244</v>
      </c>
      <c r="C33" s="36">
        <f>C4</f>
        <v>914.4</v>
      </c>
      <c r="D33" s="36" t="s">
        <v>131</v>
      </c>
      <c r="E33" s="36" t="s">
        <v>265</v>
      </c>
    </row>
    <row r="34" spans="2:11" ht="15.6" x14ac:dyDescent="0.3">
      <c r="B34" s="36" t="s">
        <v>245</v>
      </c>
      <c r="C34" s="36">
        <v>5590</v>
      </c>
      <c r="D34" s="36" t="s">
        <v>131</v>
      </c>
      <c r="E34" s="36" t="s">
        <v>266</v>
      </c>
    </row>
    <row r="35" spans="2:11" ht="16.2" x14ac:dyDescent="0.3">
      <c r="B35" s="36" t="s">
        <v>246</v>
      </c>
      <c r="C35" s="166">
        <f>((((C33+2*C32)^2)/4*PI()) - ((C33^2)/4*PI()))*C34/1000000000</f>
        <v>4.8332768373762297E-2</v>
      </c>
      <c r="D35" s="36" t="s">
        <v>247</v>
      </c>
      <c r="E35" s="36" t="s">
        <v>274</v>
      </c>
    </row>
    <row r="36" spans="2:11" ht="16.2" x14ac:dyDescent="0.3">
      <c r="B36" s="185" t="s">
        <v>257</v>
      </c>
      <c r="C36" s="36">
        <v>7850</v>
      </c>
      <c r="D36" s="36" t="s">
        <v>248</v>
      </c>
      <c r="E36" s="36" t="s">
        <v>267</v>
      </c>
    </row>
    <row r="37" spans="2:11" ht="15.6" x14ac:dyDescent="0.3">
      <c r="B37" s="36" t="s">
        <v>249</v>
      </c>
      <c r="C37" s="166">
        <f>C35*C36</f>
        <v>379.41223173403404</v>
      </c>
      <c r="D37" s="36" t="s">
        <v>250</v>
      </c>
      <c r="E37" s="36" t="s">
        <v>268</v>
      </c>
    </row>
    <row r="38" spans="2:11" ht="16.2" x14ac:dyDescent="0.3">
      <c r="B38" s="36" t="s">
        <v>251</v>
      </c>
      <c r="C38" s="166">
        <f>((C33/1000)^2*PI()/4) - 'Plate Design Part I'!H7 - 'Plate Design Part I'!I19</f>
        <v>0.51747399961336138</v>
      </c>
      <c r="D38" s="36" t="s">
        <v>104</v>
      </c>
      <c r="E38" s="36" t="s">
        <v>269</v>
      </c>
    </row>
    <row r="39" spans="2:11" ht="15.6" x14ac:dyDescent="0.3">
      <c r="B39" s="36" t="s">
        <v>252</v>
      </c>
      <c r="C39" s="36">
        <v>5</v>
      </c>
      <c r="D39" s="36" t="s">
        <v>131</v>
      </c>
      <c r="E39" s="36" t="s">
        <v>270</v>
      </c>
      <c r="K39" s="206"/>
    </row>
    <row r="40" spans="2:11" ht="16.2" x14ac:dyDescent="0.3">
      <c r="B40" s="36" t="s">
        <v>253</v>
      </c>
      <c r="C40" s="166">
        <f>C38*C39/1000</f>
        <v>2.5873699980668067E-3</v>
      </c>
      <c r="D40" s="36" t="s">
        <v>247</v>
      </c>
      <c r="E40" s="36" t="s">
        <v>275</v>
      </c>
    </row>
    <row r="41" spans="2:11" ht="15.6" x14ac:dyDescent="0.3">
      <c r="B41" s="36" t="s">
        <v>254</v>
      </c>
      <c r="C41" s="166">
        <f>C40*C36*7</f>
        <v>142.17598139377102</v>
      </c>
      <c r="D41" s="36" t="s">
        <v>250</v>
      </c>
      <c r="E41" s="36" t="s">
        <v>271</v>
      </c>
    </row>
    <row r="42" spans="2:11" ht="16.2" x14ac:dyDescent="0.3">
      <c r="B42" s="36" t="s">
        <v>255</v>
      </c>
      <c r="C42" s="166">
        <f>(C33/1000)^2*PI()/4*C32/1000*1.2</f>
        <v>2.3640944144772851E-3</v>
      </c>
      <c r="D42" s="36" t="s">
        <v>247</v>
      </c>
      <c r="E42" s="36" t="s">
        <v>277</v>
      </c>
    </row>
    <row r="43" spans="2:11" ht="15.6" x14ac:dyDescent="0.3">
      <c r="B43" s="36" t="s">
        <v>256</v>
      </c>
      <c r="C43" s="166">
        <f>2*C42*C36</f>
        <v>37.116282307293375</v>
      </c>
      <c r="D43" s="36" t="s">
        <v>250</v>
      </c>
      <c r="E43" s="36" t="s">
        <v>272</v>
      </c>
    </row>
    <row r="44" spans="2:11" ht="15.6" x14ac:dyDescent="0.3">
      <c r="B44" s="36" t="s">
        <v>258</v>
      </c>
      <c r="C44" s="166">
        <f>'Plate Layout'!J6*('Plate Layout'!G6/1000 + ('Plate Layout'!D6-0.0408))</f>
        <v>0.44418479615999995</v>
      </c>
      <c r="D44" s="36" t="s">
        <v>259</v>
      </c>
      <c r="E44" s="36" t="s">
        <v>273</v>
      </c>
    </row>
    <row r="45" spans="2:11" ht="16.2" x14ac:dyDescent="0.3">
      <c r="B45" s="36" t="s">
        <v>260</v>
      </c>
      <c r="C45" s="166">
        <f>C44*C32/1000</f>
        <v>1.3325543884799998E-3</v>
      </c>
      <c r="D45" s="36" t="s">
        <v>247</v>
      </c>
      <c r="E45" s="36" t="s">
        <v>276</v>
      </c>
    </row>
    <row r="46" spans="2:11" ht="15.6" x14ac:dyDescent="0.3">
      <c r="B46" s="36" t="s">
        <v>261</v>
      </c>
      <c r="C46" s="166">
        <f>C45*C36*6</f>
        <v>62.763311697407985</v>
      </c>
      <c r="D46" s="36" t="s">
        <v>250</v>
      </c>
      <c r="E46" s="36" t="s">
        <v>278</v>
      </c>
    </row>
    <row r="47" spans="2:11" ht="15.6" x14ac:dyDescent="0.3">
      <c r="B47" s="36" t="s">
        <v>262</v>
      </c>
      <c r="C47" s="166">
        <f>(C46+C43+C41+C37)*0.15</f>
        <v>93.22017106987596</v>
      </c>
      <c r="D47" s="36" t="s">
        <v>250</v>
      </c>
      <c r="E47" s="36" t="s">
        <v>279</v>
      </c>
    </row>
    <row r="48" spans="2:11" ht="15.6" x14ac:dyDescent="0.3">
      <c r="B48" s="36" t="s">
        <v>263</v>
      </c>
      <c r="C48" s="190">
        <f>C47+C46+C43+C41+C37</f>
        <v>714.68797820238228</v>
      </c>
      <c r="D48" s="36" t="s">
        <v>250</v>
      </c>
      <c r="E48" s="36" t="s">
        <v>280</v>
      </c>
    </row>
    <row r="51" spans="2:3" ht="15.6" x14ac:dyDescent="0.3">
      <c r="B51" s="241" t="s">
        <v>289</v>
      </c>
      <c r="C51" s="241"/>
    </row>
    <row r="52" spans="2:3" x14ac:dyDescent="0.3">
      <c r="B52" s="36" t="s">
        <v>282</v>
      </c>
      <c r="C52" s="36" t="s">
        <v>283</v>
      </c>
    </row>
    <row r="53" spans="2:3" x14ac:dyDescent="0.3">
      <c r="B53" s="36" t="s">
        <v>284</v>
      </c>
      <c r="C53" s="166">
        <f>C37</f>
        <v>379.41223173403404</v>
      </c>
    </row>
    <row r="54" spans="2:3" x14ac:dyDescent="0.3">
      <c r="B54" s="36" t="s">
        <v>285</v>
      </c>
      <c r="C54" s="166">
        <f>C41</f>
        <v>142.17598139377102</v>
      </c>
    </row>
    <row r="55" spans="2:3" x14ac:dyDescent="0.3">
      <c r="B55" s="36" t="s">
        <v>286</v>
      </c>
      <c r="C55" s="166">
        <f>C43</f>
        <v>37.116282307293375</v>
      </c>
    </row>
    <row r="56" spans="2:3" x14ac:dyDescent="0.3">
      <c r="B56" s="36" t="s">
        <v>287</v>
      </c>
      <c r="C56" s="166">
        <f>C46</f>
        <v>62.763311697407985</v>
      </c>
    </row>
    <row r="57" spans="2:3" x14ac:dyDescent="0.3">
      <c r="B57" s="36" t="s">
        <v>288</v>
      </c>
      <c r="C57" s="166">
        <f>C47</f>
        <v>93.22017106987596</v>
      </c>
    </row>
  </sheetData>
  <mergeCells count="4">
    <mergeCell ref="B14:E14"/>
    <mergeCell ref="B30:E30"/>
    <mergeCell ref="B51:C51"/>
    <mergeCell ref="B2:E2"/>
  </mergeCells>
  <pageMargins left="0.7" right="0.7" top="0.75" bottom="0.75" header="0.3" footer="0.3"/>
  <pageSetup orientation="portrait" r:id="rId1"/>
  <drawing r:id="rId2"/>
  <legacyDrawing r:id="rId3"/>
  <tableParts count="4">
    <tablePart r:id="rId4"/>
    <tablePart r:id="rId5"/>
    <tablePart r:id="rId6"/>
    <tablePart r:id="rId7"/>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564EE-5215-48B6-BF83-1BF9747D39CD}">
  <dimension ref="B2:E17"/>
  <sheetViews>
    <sheetView zoomScale="80" zoomScaleNormal="80" workbookViewId="0"/>
  </sheetViews>
  <sheetFormatPr defaultRowHeight="14.4" x14ac:dyDescent="0.3"/>
  <cols>
    <col min="1" max="1" width="8.88671875" style="184"/>
    <col min="2" max="2" width="12.33203125" style="184" customWidth="1"/>
    <col min="3" max="3" width="8.88671875" style="184"/>
    <col min="4" max="4" width="11.77734375" style="184" customWidth="1"/>
    <col min="5" max="5" width="47" style="184" customWidth="1"/>
    <col min="6" max="16384" width="8.88671875" style="184"/>
  </cols>
  <sheetData>
    <row r="2" spans="2:5" ht="15.6" x14ac:dyDescent="0.3">
      <c r="B2" s="241" t="s">
        <v>301</v>
      </c>
      <c r="C2" s="241"/>
      <c r="D2" s="241"/>
      <c r="E2" s="241"/>
    </row>
    <row r="3" spans="2:5" x14ac:dyDescent="0.3">
      <c r="B3" s="36" t="s">
        <v>0</v>
      </c>
      <c r="C3" s="36" t="s">
        <v>30</v>
      </c>
      <c r="D3" s="36" t="s">
        <v>31</v>
      </c>
      <c r="E3" s="36" t="s">
        <v>32</v>
      </c>
    </row>
    <row r="4" spans="2:5" ht="15.6" x14ac:dyDescent="0.3">
      <c r="B4" s="36" t="s">
        <v>249</v>
      </c>
      <c r="C4" s="36">
        <f>Weight!C37</f>
        <v>379.41223173403404</v>
      </c>
      <c r="D4" s="36" t="s">
        <v>250</v>
      </c>
      <c r="E4" s="36" t="s">
        <v>296</v>
      </c>
    </row>
    <row r="5" spans="2:5" ht="15.6" x14ac:dyDescent="0.3">
      <c r="B5" s="36" t="s">
        <v>65</v>
      </c>
      <c r="C5" s="36">
        <f>Weight!C33/1000</f>
        <v>0.91439999999999999</v>
      </c>
      <c r="D5" s="36" t="s">
        <v>66</v>
      </c>
      <c r="E5" s="36" t="s">
        <v>295</v>
      </c>
    </row>
    <row r="6" spans="2:5" ht="15.6" x14ac:dyDescent="0.3">
      <c r="B6" s="36" t="s">
        <v>290</v>
      </c>
      <c r="C6" s="188">
        <f xml:space="preserve"> 11600+(34*(C4^0.85))</f>
        <v>16893.263888664107</v>
      </c>
      <c r="D6" s="186" t="s">
        <v>291</v>
      </c>
      <c r="E6" s="36" t="s">
        <v>294</v>
      </c>
    </row>
    <row r="7" spans="2:5" ht="15.6" x14ac:dyDescent="0.3">
      <c r="B7" s="36" t="s">
        <v>292</v>
      </c>
      <c r="C7" s="188">
        <f>130+(440*(C5^1.8))</f>
        <v>504.53970818745245</v>
      </c>
      <c r="D7" s="36" t="s">
        <v>291</v>
      </c>
      <c r="E7" s="36" t="s">
        <v>293</v>
      </c>
    </row>
    <row r="8" spans="2:5" ht="15.6" x14ac:dyDescent="0.3">
      <c r="B8" s="36" t="s">
        <v>297</v>
      </c>
      <c r="C8" s="188">
        <f>(C6)*0.3</f>
        <v>5067.9791665992316</v>
      </c>
      <c r="D8" s="36" t="s">
        <v>291</v>
      </c>
      <c r="E8" s="36" t="s">
        <v>298</v>
      </c>
    </row>
    <row r="9" spans="2:5" ht="15.6" x14ac:dyDescent="0.3">
      <c r="B9" s="36" t="s">
        <v>299</v>
      </c>
      <c r="C9" s="188">
        <f>C8+C7+C6</f>
        <v>22465.782763450792</v>
      </c>
      <c r="D9" s="36" t="s">
        <v>291</v>
      </c>
      <c r="E9" s="36" t="s">
        <v>300</v>
      </c>
    </row>
    <row r="12" spans="2:5" ht="15.6" x14ac:dyDescent="0.3">
      <c r="B12" s="241" t="s">
        <v>305</v>
      </c>
      <c r="C12" s="241"/>
      <c r="D12" s="241"/>
    </row>
    <row r="13" spans="2:5" x14ac:dyDescent="0.3">
      <c r="B13" s="36" t="s">
        <v>302</v>
      </c>
      <c r="C13" s="36" t="s">
        <v>303</v>
      </c>
      <c r="D13" s="36" t="s">
        <v>304</v>
      </c>
    </row>
    <row r="14" spans="2:5" x14ac:dyDescent="0.3">
      <c r="B14" s="36">
        <v>2010</v>
      </c>
      <c r="C14" s="36">
        <v>550.79999999999995</v>
      </c>
      <c r="D14" s="187">
        <f>C9</f>
        <v>22465.782763450792</v>
      </c>
    </row>
    <row r="15" spans="2:5" ht="15.6" x14ac:dyDescent="0.3">
      <c r="B15" s="36">
        <v>2022</v>
      </c>
      <c r="C15" s="36">
        <v>817.4</v>
      </c>
      <c r="D15" s="189">
        <f>D14*C15/C14</f>
        <v>33339.743701606174</v>
      </c>
    </row>
    <row r="17" spans="3:4" x14ac:dyDescent="0.3">
      <c r="C17" s="342"/>
      <c r="D17" s="342"/>
    </row>
  </sheetData>
  <mergeCells count="3">
    <mergeCell ref="B2:E2"/>
    <mergeCell ref="B12:D12"/>
    <mergeCell ref="C17:D17"/>
  </mergeCells>
  <pageMargins left="0.7" right="0.7" top="0.75" bottom="0.75" header="0.3" footer="0.3"/>
  <ignoredErrors>
    <ignoredError sqref="D14" calculatedColumn="1"/>
  </ignoredErrors>
  <drawing r:id="rId1"/>
  <legacyDrawing r:id="rId2"/>
  <tableParts count="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Menu</vt:lpstr>
      <vt:lpstr>Introduction</vt:lpstr>
      <vt:lpstr>Properties</vt:lpstr>
      <vt:lpstr>Diameter Calc.</vt:lpstr>
      <vt:lpstr>Plate Design Part I</vt:lpstr>
      <vt:lpstr>Plate Design Part II</vt:lpstr>
      <vt:lpstr>Plate Layout</vt:lpstr>
      <vt:lpstr>Weight</vt:lpstr>
      <vt:lpstr>Cost</vt:lpstr>
      <vt:lpstr>Column DataSheet</vt:lpstr>
      <vt:lpstr>Mechanical Design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homanloo</dc:creator>
  <cp:lastModifiedBy>mohammad homanloo</cp:lastModifiedBy>
  <dcterms:created xsi:type="dcterms:W3CDTF">2015-06-05T18:17:20Z</dcterms:created>
  <dcterms:modified xsi:type="dcterms:W3CDTF">2023-06-08T19:11:07Z</dcterms:modified>
</cp:coreProperties>
</file>