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Ввод данных" sheetId="1" state="visible" r:id="rId1"/>
    <sheet name="Смета 1 этаж" sheetId="2" state="visible" r:id="rId2"/>
    <sheet name="Расчёт" sheetId="3" state="visible" r:id="rId3"/>
    <sheet name="Экстерьер отделка" sheetId="4" state="visible" r:id="rId4"/>
    <sheet name="Интерьер отделка котлельная" sheetId="5" state="visible" r:id="rId5"/>
    <sheet name="Интерьер отделка санузел" sheetId="6" state="visible" r:id="rId6"/>
    <sheet name="Инженерные системы" sheetId="7" state="visible" r:id="rId7"/>
  </sheets>
  <calcPr/>
</workbook>
</file>

<file path=xl/sharedStrings.xml><?xml version="1.0" encoding="utf-8"?>
<sst xmlns="http://schemas.openxmlformats.org/spreadsheetml/2006/main" count="313" uniqueCount="313">
  <si>
    <t>т</t>
  </si>
  <si>
    <t xml:space="preserve">Длина, ширина</t>
  </si>
  <si>
    <t xml:space="preserve">д, м</t>
  </si>
  <si>
    <t xml:space="preserve">ш, м</t>
  </si>
  <si>
    <t>Высота</t>
  </si>
  <si>
    <t>м</t>
  </si>
  <si>
    <t xml:space="preserve">Толщина панелей</t>
  </si>
  <si>
    <t>Количество</t>
  </si>
  <si>
    <t>шт</t>
  </si>
  <si>
    <t>Кровля</t>
  </si>
  <si>
    <t xml:space="preserve">Тепловой контур</t>
  </si>
  <si>
    <t xml:space="preserve">Первый этаж 2,8 или 2,5</t>
  </si>
  <si>
    <t xml:space="preserve">Нулевое перекрытие</t>
  </si>
  <si>
    <t>Окон</t>
  </si>
  <si>
    <t xml:space="preserve">Угол наклона, градус</t>
  </si>
  <si>
    <t>Крыльцо</t>
  </si>
  <si>
    <t xml:space="preserve">Второй этаж</t>
  </si>
  <si>
    <t xml:space="preserve">Стены первого этажа</t>
  </si>
  <si>
    <t xml:space="preserve">Вент выходов</t>
  </si>
  <si>
    <t xml:space="preserve">Длина свеса, м</t>
  </si>
  <si>
    <t>Терраса</t>
  </si>
  <si>
    <t>Мансарда</t>
  </si>
  <si>
    <t xml:space="preserve">Потолок первого этажа</t>
  </si>
  <si>
    <t>Дверей</t>
  </si>
  <si>
    <t xml:space="preserve">Шаг стропильной системы</t>
  </si>
  <si>
    <t xml:space="preserve">Стены второго этажа</t>
  </si>
  <si>
    <t xml:space="preserve">Шаг обрешетки</t>
  </si>
  <si>
    <t xml:space="preserve">Чердачное перекрытие</t>
  </si>
  <si>
    <t xml:space="preserve">Шаг сваи, м</t>
  </si>
  <si>
    <t xml:space="preserve">Кровельное перекрытие</t>
  </si>
  <si>
    <t xml:space="preserve">Километраж, км</t>
  </si>
  <si>
    <t xml:space="preserve">- рассчитывается через я карты или аналог путём расчёта расстояния от производства в городе Орехово-Зуево</t>
  </si>
  <si>
    <t xml:space="preserve">Параметры материалов</t>
  </si>
  <si>
    <t xml:space="preserve">Сечение доски на обвязку</t>
  </si>
  <si>
    <t xml:space="preserve">Сечение доски на мауэрлат</t>
  </si>
  <si>
    <t xml:space="preserve">Сечение доски на стропильную систему</t>
  </si>
  <si>
    <t xml:space="preserve">Сечение доски на обрешетку</t>
  </si>
  <si>
    <t xml:space="preserve">Сечение доски на контробрешетку</t>
  </si>
  <si>
    <t xml:space="preserve">Сечение доски на внутренние перегородки</t>
  </si>
  <si>
    <t xml:space="preserve">Ширина панели, м</t>
  </si>
  <si>
    <t xml:space="preserve">Высота панели</t>
  </si>
  <si>
    <t xml:space="preserve">площадь панели</t>
  </si>
  <si>
    <t xml:space="preserve">Толщина панели</t>
  </si>
  <si>
    <t xml:space="preserve">толщина утеплителя</t>
  </si>
  <si>
    <t xml:space="preserve">Выборка, м</t>
  </si>
  <si>
    <t>Стоимость</t>
  </si>
  <si>
    <t>себестоимость</t>
  </si>
  <si>
    <t xml:space="preserve">наценка %</t>
  </si>
  <si>
    <t xml:space="preserve">стоимость для клиента</t>
  </si>
  <si>
    <t xml:space="preserve">Налог при безнале на ООО</t>
  </si>
  <si>
    <t xml:space="preserve">Свая винтовая</t>
  </si>
  <si>
    <t xml:space="preserve">Монтаж сваи винтовой</t>
  </si>
  <si>
    <t xml:space="preserve">Налог при безнале при выплате рабочим</t>
  </si>
  <si>
    <t xml:space="preserve">Доставка винтовых свай</t>
  </si>
  <si>
    <t xml:space="preserve">Свая железобетон</t>
  </si>
  <si>
    <t xml:space="preserve">Монтаж сваи железобетенной</t>
  </si>
  <si>
    <t xml:space="preserve">Доставка железобетонных свай</t>
  </si>
  <si>
    <t xml:space="preserve">СИП 2500 174</t>
  </si>
  <si>
    <t xml:space="preserve"> </t>
  </si>
  <si>
    <t xml:space="preserve">СИП 2800 174</t>
  </si>
  <si>
    <t xml:space="preserve">СИП 2500 224</t>
  </si>
  <si>
    <t xml:space="preserve">СИП 2800 224</t>
  </si>
  <si>
    <t xml:space="preserve">Доставка домокомплекта</t>
  </si>
  <si>
    <t xml:space="preserve">Пиломатериал камерной сушки, куб.м, руб</t>
  </si>
  <si>
    <t xml:space="preserve">Крепеж, руб за м2</t>
  </si>
  <si>
    <t xml:space="preserve">Кровля, металлочерепица, кв.м, руб</t>
  </si>
  <si>
    <t xml:space="preserve">Монтаж теплового контура, руб за м2</t>
  </si>
  <si>
    <t xml:space="preserve">Проживание бригады</t>
  </si>
  <si>
    <t>Окно</t>
  </si>
  <si>
    <t xml:space="preserve">Монтаж оконной конструкции</t>
  </si>
  <si>
    <t xml:space="preserve">Вентиляционный выход</t>
  </si>
  <si>
    <t xml:space="preserve">Монтаж вентиляционного выхода</t>
  </si>
  <si>
    <t xml:space="preserve">Стоимость ОСП</t>
  </si>
  <si>
    <t>Дверь</t>
  </si>
  <si>
    <t xml:space="preserve">Монтаж двери</t>
  </si>
  <si>
    <t>Позиция</t>
  </si>
  <si>
    <t>Объём</t>
  </si>
  <si>
    <t>Логистика</t>
  </si>
  <si>
    <t>Итого</t>
  </si>
  <si>
    <t>проектирование</t>
  </si>
  <si>
    <t xml:space="preserve">Стоимость домокомплекта</t>
  </si>
  <si>
    <t xml:space="preserve">домокомлект из СИП панелей, пиломатериалы, кровля, крепеж</t>
  </si>
  <si>
    <t xml:space="preserve">фундамент: плита УШП</t>
  </si>
  <si>
    <t xml:space="preserve">Объём пиломатериала</t>
  </si>
  <si>
    <t xml:space="preserve">монтаж коробки дома, окон, дверей, кровли</t>
  </si>
  <si>
    <t xml:space="preserve">светопрозрачные конструкции Rehau, двойной стеклопакет, профиль 70 мм, фурнитура Roto, с ламинацией</t>
  </si>
  <si>
    <t xml:space="preserve">мансардные окна, 1,2*0,78, 4 штуки, с установкой</t>
  </si>
  <si>
    <t xml:space="preserve">логистика, размещение бригады</t>
  </si>
  <si>
    <t xml:space="preserve">фасадные материалы и монтаж фасада</t>
  </si>
  <si>
    <t>терраса</t>
  </si>
  <si>
    <t xml:space="preserve">Тест 2 этажа</t>
  </si>
  <si>
    <t xml:space="preserve">отмостка вокруг дома, 1м</t>
  </si>
  <si>
    <t xml:space="preserve">вентиляционные выходы, 5 штук (без прокладки трасс)</t>
  </si>
  <si>
    <t xml:space="preserve">Фундамент теплового контура (свая винтовая 108х2500, толщина стенки 4 мм, с оголовком)</t>
  </si>
  <si>
    <t>итого</t>
  </si>
  <si>
    <t xml:space="preserve">Обвязка фундамента теплового контура дома</t>
  </si>
  <si>
    <t xml:space="preserve">СИП панели на нулевое перекрытие</t>
  </si>
  <si>
    <t xml:space="preserve">Пиломатериал на нулевое перекрытие</t>
  </si>
  <si>
    <t xml:space="preserve">СИП панели стен первого и второго этажей</t>
  </si>
  <si>
    <t xml:space="preserve">Пиломатериал на стены первого и второго этажей</t>
  </si>
  <si>
    <t xml:space="preserve">СИП панели на потолок первого и второго этажей</t>
  </si>
  <si>
    <t xml:space="preserve">Пиломатериал на потолок первого и второго этажей</t>
  </si>
  <si>
    <t xml:space="preserve">Пиломатериал под кровлю</t>
  </si>
  <si>
    <t xml:space="preserve">Стоимость кровли из металлочерепицы</t>
  </si>
  <si>
    <t xml:space="preserve">Стоимость крепежа</t>
  </si>
  <si>
    <t xml:space="preserve">Стоимость каркаса межкомнатных перегородок</t>
  </si>
  <si>
    <t xml:space="preserve">Стоимость монтажа теплового контура</t>
  </si>
  <si>
    <t xml:space="preserve">Стоимость раскроя СИП панелей</t>
  </si>
  <si>
    <t>Проектирование</t>
  </si>
  <si>
    <t xml:space="preserve">ставка за квадратный метр</t>
  </si>
  <si>
    <t xml:space="preserve">Разработка Архитектурного решения и Конструктивного решения конструкции дома</t>
  </si>
  <si>
    <t>Фундамент</t>
  </si>
  <si>
    <t>штук</t>
  </si>
  <si>
    <t xml:space="preserve">количество свай на тепловой контур</t>
  </si>
  <si>
    <t xml:space="preserve">количество свай на крыльцо</t>
  </si>
  <si>
    <t xml:space="preserve">количество свай на террасу</t>
  </si>
  <si>
    <t xml:space="preserve">Винтовые сваи</t>
  </si>
  <si>
    <t xml:space="preserve">Стоимость, рублей</t>
  </si>
  <si>
    <t>Себестоимость</t>
  </si>
  <si>
    <t>Наценка</t>
  </si>
  <si>
    <t xml:space="preserve">Фундамент крыльца (свая винтовая 108х2500, толщина стенки 4 мм, с оголовком)</t>
  </si>
  <si>
    <t xml:space="preserve">Фундамент террасы (свая винтовая 108х2500, толщина стенки 4 мм, с оголовком)</t>
  </si>
  <si>
    <t xml:space="preserve">Доставка фундамента</t>
  </si>
  <si>
    <t xml:space="preserve">Фундамент итого (свая винтовая 108х2500, толщина стенки 4 мм, с оголовком)</t>
  </si>
  <si>
    <t xml:space="preserve">Железобетонные сваи</t>
  </si>
  <si>
    <t xml:space="preserve">Фундамент теплового контура (свая железобетонная 150х3000, с оголовком)</t>
  </si>
  <si>
    <t xml:space="preserve">Фундамент крыльца (свая железобетонная 150х3000, с оголовком)</t>
  </si>
  <si>
    <t xml:space="preserve">Фундамент террасы (свая железобетонная 150х3000, с оголовком)</t>
  </si>
  <si>
    <t xml:space="preserve">Фундамент итого (свая железобетонная 150х3000, с оголовком)</t>
  </si>
  <si>
    <t xml:space="preserve">Обвязка теплового контура</t>
  </si>
  <si>
    <t xml:space="preserve">Обвязка вертикальная (по ширине)</t>
  </si>
  <si>
    <t xml:space="preserve">длина вертикальных досок</t>
  </si>
  <si>
    <t xml:space="preserve">объём верт досок</t>
  </si>
  <si>
    <t xml:space="preserve">длина горизонтальных досок</t>
  </si>
  <si>
    <t xml:space="preserve">объём горизонт досок</t>
  </si>
  <si>
    <t xml:space="preserve">Объём пиломатериала на обвязку, расчёт</t>
  </si>
  <si>
    <t xml:space="preserve">На обрезки</t>
  </si>
  <si>
    <t xml:space="preserve">Объём пиломатериала на обвязку, факт</t>
  </si>
  <si>
    <t xml:space="preserve">Обвязка горизонтальная (по длине)</t>
  </si>
  <si>
    <t xml:space="preserve">Объём на обвязку:</t>
  </si>
  <si>
    <t xml:space="preserve">Итого объём на обвязку:</t>
  </si>
  <si>
    <t xml:space="preserve">Стоимость обвязки, рублей</t>
  </si>
  <si>
    <t xml:space="preserve">Обвязка крыльца</t>
  </si>
  <si>
    <t xml:space="preserve">Объём пиломатериала на каркас крыльца</t>
  </si>
  <si>
    <t xml:space="preserve">Стоимость пиломатериала на каркас крыльца</t>
  </si>
  <si>
    <t xml:space="preserve">Крепеж крыльцо</t>
  </si>
  <si>
    <t xml:space="preserve">Кровля крыльцо</t>
  </si>
  <si>
    <t xml:space="preserve">Работа крыльцо</t>
  </si>
  <si>
    <t xml:space="preserve">Общая стоимость за крыльцо (без настила и ограждения)</t>
  </si>
  <si>
    <t xml:space="preserve">Обвязка террасы</t>
  </si>
  <si>
    <t xml:space="preserve">Объём пиломатериала на каркас террасы</t>
  </si>
  <si>
    <t xml:space="preserve">Стоимость каркаса на террасу</t>
  </si>
  <si>
    <t xml:space="preserve">Крепеж терраса</t>
  </si>
  <si>
    <t xml:space="preserve">Кровля терраса</t>
  </si>
  <si>
    <t xml:space="preserve">Работа терраса</t>
  </si>
  <si>
    <t xml:space="preserve">Общая стоимость за террасу (без настила и ограждения)</t>
  </si>
  <si>
    <t xml:space="preserve">сип панели</t>
  </si>
  <si>
    <t xml:space="preserve">Длина пилмата</t>
  </si>
  <si>
    <t>Объем</t>
  </si>
  <si>
    <t xml:space="preserve">Итого объём</t>
  </si>
  <si>
    <t xml:space="preserve">Итого стоимость нулевого перекрытия</t>
  </si>
  <si>
    <t xml:space="preserve">СИП панели стен первого этажа (высота потолка 2,5)</t>
  </si>
  <si>
    <t xml:space="preserve">СИП панели стен первого этажа (высота потолка 2,8)</t>
  </si>
  <si>
    <t xml:space="preserve">Пиломатериал на стены первого этажа</t>
  </si>
  <si>
    <t xml:space="preserve">Итого стоимость теплового контура первого этажа 2,5</t>
  </si>
  <si>
    <t xml:space="preserve">Итого стоимость теплового контура первого этажа 2,8</t>
  </si>
  <si>
    <t xml:space="preserve">СИП панели на потолок первого этажа</t>
  </si>
  <si>
    <t xml:space="preserve">Пиломатериал на потолок первого этажа</t>
  </si>
  <si>
    <t xml:space="preserve">Итого стоимость потолка первого этажа</t>
  </si>
  <si>
    <t xml:space="preserve">мауэрлат теплового контура</t>
  </si>
  <si>
    <t xml:space="preserve">Объём пиламатериала на основной мауэрлат</t>
  </si>
  <si>
    <t xml:space="preserve">Объём пиламатериала на промежуточный мауэрлат и опоры под стропилами</t>
  </si>
  <si>
    <t xml:space="preserve">высота кровли в коньке</t>
  </si>
  <si>
    <t xml:space="preserve">Стойки опорные под промежуточный мауэрлат</t>
  </si>
  <si>
    <t xml:space="preserve">двускатная кровля</t>
  </si>
  <si>
    <t xml:space="preserve">Стропильная система</t>
  </si>
  <si>
    <t xml:space="preserve">скат без свеса</t>
  </si>
  <si>
    <t xml:space="preserve">длина ската</t>
  </si>
  <si>
    <t xml:space="preserve">в конёк соединительные доски</t>
  </si>
  <si>
    <t xml:space="preserve">лобовые доски</t>
  </si>
  <si>
    <t>укосины</t>
  </si>
  <si>
    <t>объём</t>
  </si>
  <si>
    <t xml:space="preserve">на запас</t>
  </si>
  <si>
    <t xml:space="preserve">Объём пиломатериала на стропильную систему</t>
  </si>
  <si>
    <t>Обрешетка</t>
  </si>
  <si>
    <t xml:space="preserve">Объём досок на обрешетку</t>
  </si>
  <si>
    <t>Контробрешетка</t>
  </si>
  <si>
    <t xml:space="preserve">Объём пиломатериала на контробрешетку</t>
  </si>
  <si>
    <t xml:space="preserve">Стойки на фронтоны</t>
  </si>
  <si>
    <t>Запас</t>
  </si>
  <si>
    <t xml:space="preserve">Объём пиломатериала под кровлю</t>
  </si>
  <si>
    <t xml:space="preserve">Количество металлочерепицы</t>
  </si>
  <si>
    <t xml:space="preserve">Стоимость кровли</t>
  </si>
  <si>
    <t>Крепеж</t>
  </si>
  <si>
    <t xml:space="preserve">Монтажные работы</t>
  </si>
  <si>
    <t xml:space="preserve">Межкомнатные перегородки</t>
  </si>
  <si>
    <t xml:space="preserve">Длина межкомнатных перегородок</t>
  </si>
  <si>
    <t xml:space="preserve">Объём пиломатериала на межкомнатные перегородки</t>
  </si>
  <si>
    <t xml:space="preserve">Проживание и доставка</t>
  </si>
  <si>
    <t xml:space="preserve">Количество панелей</t>
  </si>
  <si>
    <t xml:space="preserve">Стоимость всего пиломатериала</t>
  </si>
  <si>
    <t xml:space="preserve">Стоимость входных дверей с терморазрывом</t>
  </si>
  <si>
    <t xml:space="preserve">Стоимость оконных конструкций с монтажём</t>
  </si>
  <si>
    <t xml:space="preserve">Стоимость вентиляционных выходов с монтажём (1 выход на крыше, без укладки каналов)</t>
  </si>
  <si>
    <t xml:space="preserve">Объём ОСП на фронтоны</t>
  </si>
  <si>
    <t xml:space="preserve">Стоимость ОСП на фронтоны</t>
  </si>
  <si>
    <t xml:space="preserve">Общая стоимость</t>
  </si>
  <si>
    <t xml:space="preserve">Заказа окон - перепроверка перед заказом</t>
  </si>
  <si>
    <t xml:space="preserve">Заказ двери</t>
  </si>
  <si>
    <t xml:space="preserve">Строительные леса</t>
  </si>
  <si>
    <t xml:space="preserve">Организация размещения бригады строителей</t>
  </si>
  <si>
    <t xml:space="preserve">Наличие\организация туалета</t>
  </si>
  <si>
    <t xml:space="preserve">Монтаж окон и дверей</t>
  </si>
  <si>
    <t xml:space="preserve">Логистика и доставка от каждого из поставщиков и подрядчиков</t>
  </si>
  <si>
    <t xml:space="preserve">Экстерьер - цоколь лучше делать после отмостки</t>
  </si>
  <si>
    <t xml:space="preserve">проектирование, закупка, доставка и монтаж экстерьера</t>
  </si>
  <si>
    <t xml:space="preserve">Наружная отделка дома</t>
  </si>
  <si>
    <t xml:space="preserve">Уборка участка - подписать договор с подрядчиком</t>
  </si>
  <si>
    <t xml:space="preserve">Подписание акта выполненных работ - проветривание дома</t>
  </si>
  <si>
    <t>Фотоотчёт</t>
  </si>
  <si>
    <t xml:space="preserve">Получение оплаты согласно с графиком оплат</t>
  </si>
  <si>
    <t xml:space="preserve">Оплата поставщикам и подрядчикам согласно с графиком платежей и работ</t>
  </si>
  <si>
    <t>Эксплуатация</t>
  </si>
  <si>
    <t xml:space="preserve">эксплуатация и сервис дома - б24</t>
  </si>
  <si>
    <t xml:space="preserve">реконструкция или демонтаж</t>
  </si>
  <si>
    <t>цена</t>
  </si>
  <si>
    <t>количество</t>
  </si>
  <si>
    <t>стоимость</t>
  </si>
  <si>
    <t xml:space="preserve">Котельная отделка</t>
  </si>
  <si>
    <t xml:space="preserve">Пароизоляция швов между СИП панелями (м)</t>
  </si>
  <si>
    <t xml:space="preserve">Гидроизоляция пола (смесью водостоп) (м2)</t>
  </si>
  <si>
    <t>длинна</t>
  </si>
  <si>
    <t xml:space="preserve">длинна швов пола</t>
  </si>
  <si>
    <t xml:space="preserve">Укладка ГВЛ (м2)</t>
  </si>
  <si>
    <t>ширина</t>
  </si>
  <si>
    <t xml:space="preserve">длинна швов потлка</t>
  </si>
  <si>
    <t xml:space="preserve">Укладка сетки (для стяжки) (м2)</t>
  </si>
  <si>
    <t>высота</t>
  </si>
  <si>
    <t xml:space="preserve">длинна швов на стенах</t>
  </si>
  <si>
    <t xml:space="preserve">Устройство стяжки (м2)</t>
  </si>
  <si>
    <t>площадь</t>
  </si>
  <si>
    <t xml:space="preserve">Облицовка плиткой пола (м2) </t>
  </si>
  <si>
    <t xml:space="preserve">периметр пола и потолка</t>
  </si>
  <si>
    <t xml:space="preserve">Затирка плитки (м2) </t>
  </si>
  <si>
    <t>углов</t>
  </si>
  <si>
    <t xml:space="preserve">Монтаж плинтусов пластиковых (м) </t>
  </si>
  <si>
    <t xml:space="preserve">площадь стен</t>
  </si>
  <si>
    <t xml:space="preserve">Запил плинтуса (м)</t>
  </si>
  <si>
    <t xml:space="preserve">Грунтовка стен (м2)</t>
  </si>
  <si>
    <t xml:space="preserve">Покраска стен (м2) - 2 слоя</t>
  </si>
  <si>
    <t xml:space="preserve">Грунтовка потолков (м2)</t>
  </si>
  <si>
    <t xml:space="preserve">Покраска потолка (м2) - 2 слоя</t>
  </si>
  <si>
    <t xml:space="preserve">Оплата поставщикам и подрядчикам согласно с графиком платежей и работ (ремонт квартир - 8000 за метр получает бригада, 18000 - платит клиент за услуги, без стоимости строительных материалов)</t>
  </si>
  <si>
    <t xml:space="preserve">- монтаж потолков</t>
  </si>
  <si>
    <t xml:space="preserve">- монтаж напольных покрытий</t>
  </si>
  <si>
    <t xml:space="preserve">- монтаж межкомнатных дверей</t>
  </si>
  <si>
    <t xml:space="preserve">- монтаж лестниц</t>
  </si>
  <si>
    <t xml:space="preserve">- отделка стен</t>
  </si>
  <si>
    <t xml:space="preserve">- малярные работы</t>
  </si>
  <si>
    <t xml:space="preserve">Подписание акта выполненных работ</t>
  </si>
  <si>
    <t xml:space="preserve">Фотоотчёт каждый день</t>
  </si>
  <si>
    <t xml:space="preserve">Комплектация - точная номенклатура - перепроверять от всех поставщиков</t>
  </si>
  <si>
    <t xml:space="preserve">Санузел отделка</t>
  </si>
  <si>
    <t xml:space="preserve">площадь пола</t>
  </si>
  <si>
    <t xml:space="preserve">Устройство теплого пола (кабель) </t>
  </si>
  <si>
    <t xml:space="preserve">Установка терморегулятора под теплый пол (шт.) </t>
  </si>
  <si>
    <t xml:space="preserve">Изоляция рулонными материалами (м2) </t>
  </si>
  <si>
    <t xml:space="preserve">Пароизоляция пленкой всего периметра</t>
  </si>
  <si>
    <t xml:space="preserve">Обшивка стен листами ГКЛ (2 слоя) (м2) </t>
  </si>
  <si>
    <t xml:space="preserve">Подготовка стен ГКЛ под плитку</t>
  </si>
  <si>
    <t xml:space="preserve">Облицовка плиткой стен (м2)</t>
  </si>
  <si>
    <t xml:space="preserve">Высверливание коронкой отверстия в керамической плитке</t>
  </si>
  <si>
    <t xml:space="preserve">Обшивка потолка (м2)</t>
  </si>
  <si>
    <t xml:space="preserve">Подрезка плитки (м)</t>
  </si>
  <si>
    <t xml:space="preserve">Подрезка резного края плитки под 45 гр.</t>
  </si>
  <si>
    <t xml:space="preserve">Прокладка кабеля в ГКЛ</t>
  </si>
  <si>
    <t xml:space="preserve">Установка розеток</t>
  </si>
  <si>
    <t>Сантехника</t>
  </si>
  <si>
    <t xml:space="preserve">Установка водонагревателя</t>
  </si>
  <si>
    <t xml:space="preserve">Обвязка водонагревателя</t>
  </si>
  <si>
    <t xml:space="preserve">Разводка труб (ГВС, ХВС)</t>
  </si>
  <si>
    <t xml:space="preserve">количество электроточек=площадь</t>
  </si>
  <si>
    <t xml:space="preserve">Разводка труб канализации</t>
  </si>
  <si>
    <t xml:space="preserve">длина кабеля=7м на 1 кв.м</t>
  </si>
  <si>
    <t xml:space="preserve">Прокладка воздуховодов</t>
  </si>
  <si>
    <t xml:space="preserve">Установка душевой кабины (размером 80*80 см) (шт.)</t>
  </si>
  <si>
    <t xml:space="preserve">Установка коллекторов</t>
  </si>
  <si>
    <t xml:space="preserve">Установка полотенцесушителя</t>
  </si>
  <si>
    <t xml:space="preserve">Установка радиатора на кронштейн</t>
  </si>
  <si>
    <t xml:space="preserve">Установка раковины</t>
  </si>
  <si>
    <t xml:space="preserve">Установка регулятора давления</t>
  </si>
  <si>
    <t xml:space="preserve">Установка сифона</t>
  </si>
  <si>
    <t xml:space="preserve">Установка смесителей</t>
  </si>
  <si>
    <t xml:space="preserve">Монтаж точки подключения к канализации</t>
  </si>
  <si>
    <t xml:space="preserve">Установка точки канализации</t>
  </si>
  <si>
    <t xml:space="preserve">Установка унитаза</t>
  </si>
  <si>
    <t xml:space="preserve">Установка фильтра грубой очистки</t>
  </si>
  <si>
    <t xml:space="preserve">Прокладка труб водоснабжения (м)</t>
  </si>
  <si>
    <t xml:space="preserve">Установка греющего кабеля в трубу</t>
  </si>
  <si>
    <t xml:space="preserve">Утепление труб канализации и водопровода</t>
  </si>
  <si>
    <t xml:space="preserve">Утепление воздуховодов</t>
  </si>
  <si>
    <t xml:space="preserve">Инженерные системы</t>
  </si>
  <si>
    <t xml:space="preserve">проектирование, закупка, доставка и монтаж инженерных систем (электрика, отопление, водоснабжение, водоотведение, вентиляция, слаботочные системы)</t>
  </si>
  <si>
    <t xml:space="preserve">- вентиляция</t>
  </si>
  <si>
    <t xml:space="preserve">- электроснабжение</t>
  </si>
  <si>
    <t xml:space="preserve">- отопление</t>
  </si>
  <si>
    <t xml:space="preserve">- водоснабжение</t>
  </si>
  <si>
    <t xml:space="preserve">- газификация</t>
  </si>
  <si>
    <t xml:space="preserve">- канализация</t>
  </si>
  <si>
    <t xml:space="preserve">- интернет</t>
  </si>
  <si>
    <t xml:space="preserve">- слаботочные системы</t>
  </si>
  <si>
    <t xml:space="preserve">- сантехника</t>
  </si>
  <si>
    <t xml:space="preserve">Получение оплаты согласно с графиком оплат (домокомплект и 2 этапа оплаты, строительств и 5 этапов оплаты), закладывать на доп расходы минимум 50 тр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</si>
</sst>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0.0"/>
    <numFmt numFmtId="161" formatCode="0.000"/>
    <numFmt numFmtId="162" formatCode="#,##0.0"/>
  </numFmts>
  <fonts count="11">
    <font>
      <sz val="10.000000"/>
      <color theme="1"/>
      <name val="Arial"/>
      <scheme val="minor"/>
    </font>
    <font>
      <b/>
      <sz val="11.000000"/>
      <color rgb="FFFA7D00"/>
      <name val="Arial"/>
      <scheme val="minor"/>
    </font>
    <font>
      <sz val="11.000000"/>
      <color rgb="FF9C0006"/>
      <name val="Arial"/>
      <scheme val="minor"/>
    </font>
    <font>
      <color theme="1"/>
      <name val="Arial"/>
      <scheme val="minor"/>
    </font>
    <font>
      <color theme="1"/>
      <name val="Arial"/>
    </font>
    <font>
      <name val="Ubuntu"/>
    </font>
    <font>
      <b/>
      <color theme="1"/>
      <name val="Arial"/>
      <scheme val="minor"/>
    </font>
    <font>
      <b/>
      <name val="Ubuntu"/>
    </font>
    <font>
      <sz val="11.000000"/>
      <color theme="1"/>
      <name val="Calibri"/>
    </font>
    <font>
      <b/>
      <sz val="11.000000"/>
      <color theme="1"/>
      <name val="Calibri"/>
    </font>
    <font>
      <sz val="11.000000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indexed="5"/>
        <bgColor indexed="5"/>
      </patternFill>
    </fill>
    <fill>
      <patternFill patternType="solid">
        <fgColor indexed="3"/>
        <bgColor indexed="3"/>
      </patternFill>
    </fill>
    <fill>
      <patternFill patternType="solid">
        <fgColor theme="5" tint="0"/>
        <bgColor theme="5" tint="0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indexed="52"/>
        <bgColor indexed="52"/>
      </patternFill>
    </fill>
    <fill>
      <patternFill patternType="solid">
        <fgColor rgb="FFF3F3F3"/>
        <bgColor rgb="FFF3F3F3"/>
      </patternFill>
    </fill>
    <fill>
      <patternFill patternType="solid">
        <fgColor indexed="7"/>
        <bgColor indexed="7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</borders>
  <cellStyleXfs count="3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0" numFmtId="0" applyNumberFormat="0" applyFont="1" applyFill="1" applyBorder="0"/>
  </cellStyleXfs>
  <cellXfs count="48">
    <xf fontId="0" fillId="0" borderId="0" numFmtId="0" xfId="0"/>
    <xf fontId="3" fillId="0" borderId="0" numFmtId="0" xfId="0" applyFont="1"/>
    <xf fontId="3" fillId="4" borderId="0" numFmtId="0" xfId="0" applyFont="1" applyFill="1"/>
    <xf fontId="3" fillId="4" borderId="0" numFmtId="160" xfId="0" applyNumberFormat="1" applyFont="1" applyFill="1"/>
    <xf fontId="3" fillId="5" borderId="0" numFmtId="0" xfId="0" applyFont="1" applyFill="1"/>
    <xf fontId="3" fillId="5" borderId="0" numFmtId="3" xfId="0" applyNumberFormat="1" applyFont="1" applyFill="1"/>
    <xf fontId="3" fillId="6" borderId="0" numFmtId="0" xfId="0" applyFont="1" applyFill="1"/>
    <xf fontId="3" fillId="7" borderId="0" numFmtId="0" xfId="0" applyFont="1" applyFill="1"/>
    <xf fontId="1" fillId="2" borderId="1" numFmtId="0" xfId="1" applyFont="1" applyFill="1" applyBorder="1"/>
    <xf fontId="4" fillId="0" borderId="0" numFmtId="0" xfId="0" applyFont="1"/>
    <xf fontId="3" fillId="8" borderId="0" numFmtId="0" xfId="0" applyFont="1" applyFill="1"/>
    <xf fontId="3" fillId="8" borderId="0" numFmtId="10" xfId="0" applyNumberFormat="1" applyFont="1" applyFill="1"/>
    <xf fontId="3" fillId="8" borderId="0" numFmtId="9" xfId="0" applyNumberFormat="1" applyFont="1" applyFill="1"/>
    <xf fontId="0" fillId="8" borderId="0" numFmtId="0" xfId="0" applyFill="1"/>
    <xf fontId="3" fillId="0" borderId="0" numFmtId="1" xfId="0" applyNumberFormat="1" applyFont="1" applyAlignment="1">
      <alignment horizontal="right"/>
    </xf>
    <xf fontId="3" fillId="0" borderId="0" numFmtId="1" xfId="0" applyNumberFormat="1" applyFont="1"/>
    <xf fontId="3" fillId="0" borderId="0" numFmtId="3" xfId="0" applyNumberFormat="1" applyFont="1"/>
    <xf fontId="3" fillId="9" borderId="0" numFmtId="160" xfId="0" applyNumberFormat="1" applyFont="1" applyFill="1"/>
    <xf fontId="3" fillId="9" borderId="0" numFmtId="1" xfId="0" applyNumberFormat="1" applyFont="1" applyFill="1"/>
    <xf fontId="3" fillId="0" borderId="0" numFmtId="2" xfId="0" applyNumberFormat="1" applyFont="1"/>
    <xf fontId="3" fillId="0" borderId="0" numFmtId="160" xfId="0" applyNumberFormat="1" applyFont="1"/>
    <xf fontId="3" fillId="5" borderId="0" numFmtId="1" xfId="0" applyNumberFormat="1" applyFont="1" applyFill="1" applyAlignment="1">
      <alignment horizontal="right"/>
    </xf>
    <xf fontId="5" fillId="0" borderId="0" numFmtId="0" xfId="0" applyFont="1"/>
    <xf fontId="5" fillId="0" borderId="0" numFmtId="0" xfId="0" applyFont="1" applyAlignment="1">
      <alignment horizontal="right"/>
    </xf>
    <xf fontId="6" fillId="0" borderId="0" numFmtId="0" xfId="0" applyFont="1" applyAlignment="1">
      <alignment wrapText="1"/>
    </xf>
    <xf fontId="6" fillId="0" borderId="0" numFmtId="1" xfId="0" applyNumberFormat="1" applyFont="1" applyAlignment="1">
      <alignment horizontal="right" wrapText="1"/>
    </xf>
    <xf fontId="3" fillId="0" borderId="0" numFmtId="0" xfId="0" applyFont="1" applyAlignment="1">
      <alignment wrapText="1"/>
    </xf>
    <xf fontId="3" fillId="0" borderId="0" numFmtId="1" xfId="0" applyNumberFormat="1" applyFont="1" applyAlignment="1">
      <alignment horizontal="right" wrapText="1"/>
    </xf>
    <xf fontId="7" fillId="0" borderId="0" numFmtId="0" xfId="0" applyFont="1"/>
    <xf fontId="6" fillId="5" borderId="0" numFmtId="0" xfId="0" applyFont="1" applyFill="1" applyAlignment="1">
      <alignment wrapText="1"/>
    </xf>
    <xf fontId="6" fillId="5" borderId="0" numFmtId="1" xfId="0" applyNumberFormat="1" applyFont="1" applyFill="1" applyAlignment="1">
      <alignment horizontal="right" wrapText="1"/>
    </xf>
    <xf fontId="3" fillId="10" borderId="0" numFmtId="0" xfId="0" applyFont="1" applyFill="1"/>
    <xf fontId="3" fillId="11" borderId="0" numFmtId="0" xfId="0" applyFont="1" applyFill="1"/>
    <xf fontId="3" fillId="11" borderId="0" numFmtId="1" xfId="0" applyNumberFormat="1" applyFont="1" applyFill="1"/>
    <xf fontId="3" fillId="12" borderId="0" numFmtId="0" xfId="0" applyFont="1" applyFill="1"/>
    <xf fontId="3" fillId="12" borderId="0" numFmtId="3" xfId="0" applyNumberFormat="1" applyFont="1" applyFill="1"/>
    <xf fontId="3" fillId="5" borderId="0" numFmtId="9" xfId="0" applyNumberFormat="1" applyFont="1" applyFill="1"/>
    <xf fontId="3" fillId="11" borderId="0" numFmtId="160" xfId="0" applyNumberFormat="1" applyFont="1" applyFill="1"/>
    <xf fontId="3" fillId="11" borderId="0" numFmtId="161" xfId="0" applyNumberFormat="1" applyFont="1" applyFill="1"/>
    <xf fontId="3" fillId="0" borderId="0" numFmtId="4" xfId="0" applyNumberFormat="1" applyFont="1"/>
    <xf fontId="3" fillId="11" borderId="0" numFmtId="4" xfId="0" applyNumberFormat="1" applyFont="1" applyFill="1"/>
    <xf fontId="3" fillId="0" borderId="0" numFmtId="162" xfId="0" applyNumberFormat="1" applyFont="1"/>
    <xf fontId="3" fillId="0" borderId="0" numFmtId="9" xfId="0" applyNumberFormat="1" applyFont="1"/>
    <xf fontId="8" fillId="0" borderId="0" numFmtId="0" xfId="0" applyFont="1" applyAlignment="1">
      <alignment horizontal="right" wrapText="1"/>
    </xf>
    <xf fontId="8" fillId="0" borderId="0" numFmtId="0" xfId="0" applyFont="1" applyAlignment="1">
      <alignment wrapText="1"/>
    </xf>
    <xf fontId="9" fillId="0" borderId="0" numFmtId="0" xfId="0" applyFont="1" applyAlignment="1">
      <alignment wrapText="1"/>
    </xf>
    <xf fontId="10" fillId="0" borderId="0" numFmtId="0" xfId="0" applyFont="1" applyAlignment="1">
      <alignment wrapText="1"/>
    </xf>
    <xf fontId="6" fillId="0" borderId="0" numFmtId="0" xfId="0" applyFont="1"/>
  </cellXfs>
  <cellStyles count="3">
    <cellStyle name="Normal" xfId="0" builtinId="0"/>
    <cellStyle name="Calculation" xfId="1" builtinId="22"/>
    <cellStyle name="Bad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U19" zoomScale="100" workbookViewId="0">
      <selection activeCell="A1" activeCellId="0" sqref="A1"/>
    </sheetView>
  </sheetViews>
  <sheetFormatPr defaultColWidth="12.630000000000001" defaultRowHeight="15.75" customHeight="1"/>
  <cols>
    <col bestFit="1" customWidth="1" min="1" max="1" width="38.421875"/>
    <col customWidth="1" min="2" max="3" width="22.28125"/>
    <col bestFit="1" customWidth="1" min="4" max="4" width="22.54296875"/>
    <col customWidth="1" min="5" max="11" width="22.28125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5</v>
      </c>
      <c r="H2" s="1" t="s">
        <v>7</v>
      </c>
      <c r="I2" s="1" t="s">
        <v>8</v>
      </c>
      <c r="J2" s="1" t="s">
        <v>9</v>
      </c>
    </row>
    <row r="3">
      <c r="A3" s="1" t="s">
        <v>10</v>
      </c>
      <c r="B3" s="2">
        <v>10</v>
      </c>
      <c r="C3" s="3">
        <v>7</v>
      </c>
      <c r="D3" s="2" t="s">
        <v>11</v>
      </c>
      <c r="E3" s="2">
        <v>2.5</v>
      </c>
      <c r="F3" s="1" t="s">
        <v>12</v>
      </c>
      <c r="G3" s="4">
        <v>0.224</v>
      </c>
      <c r="H3" s="1" t="s">
        <v>13</v>
      </c>
      <c r="I3" s="2">
        <v>3</v>
      </c>
      <c r="J3" s="1" t="s">
        <v>14</v>
      </c>
      <c r="K3" s="5">
        <v>30</v>
      </c>
    </row>
    <row r="4">
      <c r="A4" s="1" t="s">
        <v>15</v>
      </c>
      <c r="B4" s="2">
        <v>2</v>
      </c>
      <c r="C4" s="2">
        <v>3</v>
      </c>
      <c r="D4" s="1" t="s">
        <v>16</v>
      </c>
      <c r="E4" s="6"/>
      <c r="F4" s="1" t="s">
        <v>17</v>
      </c>
      <c r="G4" s="4">
        <v>0.17399999999999999</v>
      </c>
      <c r="H4" s="1" t="s">
        <v>18</v>
      </c>
      <c r="I4" s="2">
        <v>3</v>
      </c>
      <c r="J4" s="1" t="s">
        <v>19</v>
      </c>
      <c r="K4" s="4">
        <v>0.5</v>
      </c>
    </row>
    <row r="5">
      <c r="A5" s="1" t="s">
        <v>20</v>
      </c>
      <c r="B5" s="2">
        <v>1</v>
      </c>
      <c r="C5" s="2">
        <v>4</v>
      </c>
      <c r="D5" s="1" t="s">
        <v>21</v>
      </c>
      <c r="E5" s="6"/>
      <c r="F5" s="1" t="s">
        <v>22</v>
      </c>
      <c r="G5" s="4">
        <v>0.17399999999999999</v>
      </c>
      <c r="H5" s="1" t="s">
        <v>23</v>
      </c>
      <c r="I5" s="2">
        <v>1</v>
      </c>
      <c r="J5" s="1" t="s">
        <v>24</v>
      </c>
      <c r="K5" s="4">
        <v>0.59999999999999998</v>
      </c>
    </row>
    <row r="6">
      <c r="F6" s="1" t="s">
        <v>25</v>
      </c>
      <c r="G6" s="4">
        <v>0</v>
      </c>
      <c r="J6" s="1" t="s">
        <v>26</v>
      </c>
      <c r="K6" s="4">
        <v>0.34999999999999998</v>
      </c>
    </row>
    <row r="7">
      <c r="F7" s="1" t="s">
        <v>27</v>
      </c>
      <c r="G7" s="4">
        <v>0</v>
      </c>
    </row>
    <row r="8">
      <c r="A8" s="1" t="s">
        <v>28</v>
      </c>
      <c r="B8" s="7">
        <v>2</v>
      </c>
      <c r="C8" s="8"/>
      <c r="F8" s="1" t="s">
        <v>29</v>
      </c>
      <c r="G8" s="4">
        <v>0</v>
      </c>
    </row>
    <row r="10">
      <c r="A10" s="2" t="s">
        <v>30</v>
      </c>
      <c r="B10" s="2">
        <v>0</v>
      </c>
      <c r="C10" t="s">
        <v>31</v>
      </c>
    </row>
    <row r="11"/>
    <row r="12">
      <c r="A12" s="1" t="s">
        <v>32</v>
      </c>
    </row>
    <row r="13">
      <c r="A13" s="1" t="s">
        <v>33</v>
      </c>
      <c r="B13" s="1">
        <v>0.20000000000000001</v>
      </c>
      <c r="C13" s="1">
        <v>0.050000000000000003</v>
      </c>
    </row>
    <row r="14">
      <c r="A14" s="1" t="s">
        <v>34</v>
      </c>
      <c r="B14" s="1">
        <v>0.14999999999999999</v>
      </c>
      <c r="C14" s="1">
        <v>0.050000000000000003</v>
      </c>
    </row>
    <row r="15">
      <c r="A15" s="1" t="s">
        <v>35</v>
      </c>
      <c r="B15" s="1">
        <v>0.14999999999999999</v>
      </c>
      <c r="C15" s="1">
        <v>0.050000000000000003</v>
      </c>
    </row>
    <row r="16">
      <c r="A16" s="1" t="s">
        <v>36</v>
      </c>
      <c r="B16" s="1">
        <v>0.14999999999999999</v>
      </c>
      <c r="C16" s="1">
        <v>0.025000000000000001</v>
      </c>
    </row>
    <row r="17">
      <c r="A17" s="1" t="s">
        <v>37</v>
      </c>
      <c r="B17" s="1">
        <v>0.050000000000000003</v>
      </c>
      <c r="C17" s="1">
        <v>0.050000000000000003</v>
      </c>
    </row>
    <row r="18">
      <c r="A18" s="1" t="s">
        <v>38</v>
      </c>
      <c r="B18" s="1">
        <v>0.10000000000000001</v>
      </c>
      <c r="C18" s="1">
        <v>0.050000000000000003</v>
      </c>
    </row>
    <row r="19">
      <c r="A19" s="1" t="s">
        <v>39</v>
      </c>
      <c r="B19" s="1">
        <v>1.25</v>
      </c>
    </row>
    <row r="20">
      <c r="A20" s="1" t="s">
        <v>40</v>
      </c>
      <c r="B20" s="1">
        <v>2.5</v>
      </c>
      <c r="C20" s="1" t="s">
        <v>41</v>
      </c>
      <c r="D20" s="1">
        <f>B20*B19</f>
        <v>3.125</v>
      </c>
    </row>
    <row r="21">
      <c r="A21" s="1" t="s">
        <v>40</v>
      </c>
      <c r="B21" s="1">
        <v>2.7999999999999998</v>
      </c>
      <c r="C21" s="1" t="s">
        <v>41</v>
      </c>
      <c r="D21" s="1">
        <f>B21*B19</f>
        <v>3.5</v>
      </c>
    </row>
    <row r="22">
      <c r="A22" s="1" t="s">
        <v>42</v>
      </c>
      <c r="B22" s="1">
        <v>0.17399999999999999</v>
      </c>
      <c r="C22" s="1" t="s">
        <v>43</v>
      </c>
      <c r="D22" s="1">
        <v>0.14999999999999999</v>
      </c>
    </row>
    <row r="23">
      <c r="A23" s="1" t="s">
        <v>42</v>
      </c>
      <c r="B23" s="1"/>
      <c r="C23" s="1" t="s">
        <v>43</v>
      </c>
      <c r="D23" s="1">
        <v>0.20000000000000001</v>
      </c>
    </row>
    <row r="24">
      <c r="A24" s="1" t="s">
        <v>44</v>
      </c>
      <c r="B24" s="1">
        <v>0.040000000000000001</v>
      </c>
    </row>
    <row r="25" ht="15.75" customHeight="1">
      <c r="D25" s="8"/>
      <c r="E25" s="8"/>
    </row>
    <row r="27">
      <c r="A27" s="1" t="s">
        <v>45</v>
      </c>
      <c r="B27" s="1" t="s">
        <v>46</v>
      </c>
      <c r="C27" s="1" t="s">
        <v>47</v>
      </c>
      <c r="D27" s="1" t="s">
        <v>48</v>
      </c>
      <c r="F27" s="9" t="s">
        <v>49</v>
      </c>
    </row>
    <row r="28">
      <c r="A28" s="2" t="s">
        <v>50</v>
      </c>
      <c r="B28" s="10">
        <v>2500</v>
      </c>
      <c r="C28" s="11">
        <v>0.14999999999999999</v>
      </c>
      <c r="D28" s="1">
        <f t="shared" ref="D28:D33" si="0">B28+C28*B28</f>
        <v>2875</v>
      </c>
      <c r="F28" s="9"/>
    </row>
    <row r="29">
      <c r="A29" s="1" t="s">
        <v>51</v>
      </c>
      <c r="B29" s="10">
        <v>2000</v>
      </c>
      <c r="C29" s="11">
        <v>0.14999999999999999</v>
      </c>
      <c r="D29" s="1">
        <f t="shared" si="0"/>
        <v>2300</v>
      </c>
      <c r="F29" s="9" t="s">
        <v>52</v>
      </c>
    </row>
    <row r="30">
      <c r="A30" s="1" t="s">
        <v>53</v>
      </c>
      <c r="B30" s="10">
        <v>10000</v>
      </c>
      <c r="C30" s="11">
        <v>0</v>
      </c>
      <c r="D30" s="1">
        <f t="shared" si="0"/>
        <v>10000</v>
      </c>
    </row>
    <row r="31">
      <c r="A31" s="2" t="s">
        <v>54</v>
      </c>
      <c r="B31" s="10">
        <v>2900</v>
      </c>
      <c r="C31" s="11">
        <v>0.10000000000000001</v>
      </c>
      <c r="D31" s="1">
        <f t="shared" si="0"/>
        <v>3190</v>
      </c>
    </row>
    <row r="32">
      <c r="A32" s="1" t="s">
        <v>55</v>
      </c>
      <c r="B32" s="10">
        <v>2200</v>
      </c>
      <c r="C32" s="11">
        <v>0.10000000000000001</v>
      </c>
      <c r="D32" s="1">
        <f t="shared" si="0"/>
        <v>2420</v>
      </c>
    </row>
    <row r="33">
      <c r="A33" s="1" t="s">
        <v>56</v>
      </c>
      <c r="B33" s="10">
        <v>15000</v>
      </c>
      <c r="C33" s="11">
        <v>0</v>
      </c>
      <c r="D33" s="1">
        <f t="shared" si="0"/>
        <v>15000</v>
      </c>
    </row>
    <row r="35">
      <c r="A35" s="1" t="s">
        <v>57</v>
      </c>
      <c r="B35" s="10">
        <v>3600</v>
      </c>
      <c r="C35" s="12">
        <v>0.14999999999999999</v>
      </c>
      <c r="D35" s="1">
        <f t="shared" ref="D35:D48" si="1">B35+B35*C35</f>
        <v>4140</v>
      </c>
      <c r="AI35" t="s">
        <v>58</v>
      </c>
    </row>
    <row r="36">
      <c r="A36" s="1" t="s">
        <v>59</v>
      </c>
      <c r="B36" s="10">
        <v>3900</v>
      </c>
      <c r="C36" s="12">
        <v>0.14999999999999999</v>
      </c>
      <c r="D36" s="1">
        <f t="shared" si="1"/>
        <v>4485</v>
      </c>
    </row>
    <row r="37">
      <c r="A37" s="1" t="s">
        <v>60</v>
      </c>
      <c r="B37" s="10">
        <v>4000</v>
      </c>
      <c r="C37" s="12">
        <v>0.14999999999999999</v>
      </c>
      <c r="D37" s="1">
        <f t="shared" si="1"/>
        <v>4600</v>
      </c>
    </row>
    <row r="38">
      <c r="A38" s="1" t="s">
        <v>61</v>
      </c>
      <c r="B38" s="10">
        <v>4400</v>
      </c>
      <c r="C38" s="12">
        <v>0.14999999999999999</v>
      </c>
      <c r="D38" s="1">
        <f t="shared" si="1"/>
        <v>5060</v>
      </c>
    </row>
    <row r="39">
      <c r="A39" s="1"/>
    </row>
    <row r="40">
      <c r="A40" s="1" t="s">
        <v>62</v>
      </c>
      <c r="D40" s="1">
        <v>40000</v>
      </c>
    </row>
    <row r="42">
      <c r="A42" s="1" t="s">
        <v>63</v>
      </c>
      <c r="B42" s="10">
        <v>21500</v>
      </c>
      <c r="C42" s="12">
        <v>0.14999999999999999</v>
      </c>
      <c r="D42" s="1">
        <f t="shared" si="1"/>
        <v>24725</v>
      </c>
    </row>
    <row r="43" ht="15.75" customHeight="1">
      <c r="B43" s="13"/>
      <c r="C43" s="13"/>
    </row>
    <row r="44">
      <c r="A44" s="1" t="s">
        <v>64</v>
      </c>
      <c r="B44" s="10">
        <v>1200</v>
      </c>
      <c r="C44" s="12">
        <v>0.10000000000000001</v>
      </c>
      <c r="D44" s="1">
        <f t="shared" si="1"/>
        <v>1320</v>
      </c>
    </row>
    <row r="45" ht="15.75" customHeight="1">
      <c r="B45" s="13"/>
      <c r="C45" s="13"/>
    </row>
    <row r="46">
      <c r="A46" s="1" t="s">
        <v>65</v>
      </c>
      <c r="B46" s="10">
        <v>1800</v>
      </c>
      <c r="C46" s="12">
        <v>0.14999999999999999</v>
      </c>
      <c r="D46" s="1">
        <f t="shared" si="1"/>
        <v>2070</v>
      </c>
    </row>
    <row r="47">
      <c r="A47" s="1"/>
      <c r="B47" s="13"/>
      <c r="C47" s="13"/>
    </row>
    <row r="48">
      <c r="A48" s="1" t="s">
        <v>66</v>
      </c>
      <c r="B48" s="10">
        <v>3000</v>
      </c>
      <c r="C48" s="12">
        <v>0.20000000000000001</v>
      </c>
      <c r="D48" s="1">
        <f t="shared" si="1"/>
        <v>3600</v>
      </c>
    </row>
    <row r="50">
      <c r="A50" s="2" t="s">
        <v>67</v>
      </c>
      <c r="B50" s="1"/>
      <c r="D50" s="1">
        <v>40000</v>
      </c>
    </row>
    <row r="52">
      <c r="A52" s="1" t="s">
        <v>68</v>
      </c>
      <c r="D52" s="1">
        <v>20000</v>
      </c>
    </row>
    <row r="53">
      <c r="A53" s="1" t="s">
        <v>69</v>
      </c>
      <c r="D53" s="1">
        <v>1000</v>
      </c>
    </row>
    <row r="54">
      <c r="A54" s="1"/>
    </row>
    <row r="55">
      <c r="A55" s="1" t="s">
        <v>70</v>
      </c>
      <c r="B55" s="10">
        <v>10000</v>
      </c>
      <c r="C55" s="12">
        <v>0.20000000000000001</v>
      </c>
      <c r="D55" s="1">
        <f>B55*C55+B55</f>
        <v>12000</v>
      </c>
    </row>
    <row r="56">
      <c r="A56" s="1" t="s">
        <v>71</v>
      </c>
      <c r="B56" s="13"/>
      <c r="C56" s="13"/>
      <c r="D56" s="1">
        <v>2000</v>
      </c>
    </row>
    <row r="57" ht="15.75" customHeight="1">
      <c r="B57" s="13"/>
      <c r="C57" s="13"/>
    </row>
    <row r="58">
      <c r="A58" s="1" t="s">
        <v>72</v>
      </c>
      <c r="B58" s="10">
        <v>600</v>
      </c>
      <c r="C58" s="12">
        <v>0.14999999999999999</v>
      </c>
      <c r="D58" s="1">
        <f>B58+B58*C58</f>
        <v>690</v>
      </c>
    </row>
    <row r="61">
      <c r="A61" s="1" t="s">
        <v>73</v>
      </c>
      <c r="D61" s="1">
        <v>50000</v>
      </c>
    </row>
    <row r="62">
      <c r="A62" s="1" t="s">
        <v>74</v>
      </c>
      <c r="D62" s="1">
        <v>4000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A9"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4.1299999999999999"/>
    <col customWidth="1" min="2" max="2" width="57.630000000000003"/>
    <col customWidth="1" min="3" max="3" width="10.25"/>
    <col customWidth="1" min="4" max="4" width="12.00390625"/>
    <col customWidth="1" min="5" max="5" width="7.8799999999999999"/>
    <col customWidth="1" min="6" max="6" width="48.880000000000003"/>
    <col customWidth="1" min="7" max="7" width="9.25"/>
    <col customWidth="1" min="8" max="8" width="13.8515625"/>
  </cols>
  <sheetData>
    <row r="1">
      <c r="C1" s="14"/>
    </row>
    <row r="2">
      <c r="B2" s="1" t="s">
        <v>75</v>
      </c>
      <c r="C2" s="14" t="s">
        <v>45</v>
      </c>
      <c r="D2" s="1" t="s">
        <v>76</v>
      </c>
    </row>
    <row r="3">
      <c r="B3" s="1" t="str">
        <f>'Расчёт'!B2</f>
        <v xml:space="preserve">Разработка Архитектурного решения и Конструктивного решения конструкции дома</v>
      </c>
      <c r="C3" s="14">
        <f>'Расчёт'!C2</f>
        <v>23800</v>
      </c>
    </row>
    <row r="4">
      <c r="B4" s="1" t="str">
        <f>'Расчёт'!B15</f>
        <v xml:space="preserve">Фундамент теплового контура (свая винтовая 108х2500, толщина стенки 4 мм, с оголовком)</v>
      </c>
      <c r="C4" s="14">
        <f>'Расчёт'!C15+'Расчёт'!C18</f>
        <v>149725</v>
      </c>
      <c r="D4" s="15">
        <f>'Расчёт'!C10</f>
        <v>27</v>
      </c>
      <c r="F4" s="1" t="str">
        <f>'Расчёт'!B22</f>
        <v xml:space="preserve">Фундамент теплового контура (свая железобетонная 150х3000, с оголовком)</v>
      </c>
      <c r="G4" s="16">
        <f>'Расчёт'!C22+'Расчёт'!C25</f>
        <v>166470</v>
      </c>
      <c r="H4" s="15">
        <f>'Расчёт'!C10</f>
        <v>27</v>
      </c>
    </row>
    <row r="5">
      <c r="B5" s="1" t="str">
        <f>'Расчёт'!B35</f>
        <v xml:space="preserve">Обвязка фундамента теплового контура дома</v>
      </c>
      <c r="C5" s="14">
        <f>'Расчёт'!C35</f>
        <v>52886.775000000009</v>
      </c>
      <c r="D5" s="17">
        <f>'Расчёт'!C34</f>
        <v>2.1390000000000002</v>
      </c>
    </row>
    <row r="6">
      <c r="B6" s="1" t="str">
        <f>'Расчёт'!B87</f>
        <v xml:space="preserve">СИП панели на нулевое перекрытие</v>
      </c>
      <c r="C6" s="14">
        <f>'Расчёт'!C87</f>
        <v>113343.99999999999</v>
      </c>
      <c r="D6" s="18">
        <f>'Расчёт'!C86</f>
        <v>24.639999999999997</v>
      </c>
    </row>
    <row r="7">
      <c r="B7" s="1" t="str">
        <f>'Расчёт'!B93</f>
        <v xml:space="preserve">Пиломатериал на нулевое перекрытие</v>
      </c>
      <c r="C7" s="14">
        <f>'Расчёт'!C93</f>
        <v>87575.949999999997</v>
      </c>
      <c r="D7" s="17">
        <f>'Расчёт'!C92</f>
        <v>3.5419999999999998</v>
      </c>
    </row>
    <row r="8">
      <c r="B8" s="1" t="str">
        <f>'Расчёт'!B98</f>
        <v xml:space="preserve">СИП панели стен первого этажа (высота потолка 2,5)</v>
      </c>
      <c r="C8" s="14">
        <f>'Расчёт'!C98</f>
        <v>112608</v>
      </c>
      <c r="D8" s="18">
        <f>'Расчёт'!C97</f>
        <v>27.199999999999999</v>
      </c>
      <c r="F8" s="1" t="str">
        <f>'Расчёт'!B99</f>
        <v xml:space="preserve">СИП панели стен первого этажа (высота потолка 2,8)</v>
      </c>
      <c r="G8" s="1" t="b">
        <f>'Расчёт'!C99</f>
        <v>0</v>
      </c>
      <c r="H8" s="15">
        <f>'Расчёт'!C97</f>
        <v>27.199999999999999</v>
      </c>
    </row>
    <row r="9">
      <c r="B9" s="1" t="str">
        <f>'Расчёт'!B105</f>
        <v xml:space="preserve">Пиломатериал на стены первого этажа</v>
      </c>
      <c r="C9" s="14">
        <f>'Расчёт'!C105</f>
        <v>33289.739999999998</v>
      </c>
      <c r="D9" s="17">
        <f>'Расчёт'!C104</f>
        <v>1.3464</v>
      </c>
    </row>
    <row r="10">
      <c r="B10" s="1" t="str">
        <f>'Расчёт'!B113</f>
        <v xml:space="preserve">СИП панели на потолок первого этажа</v>
      </c>
      <c r="C10" s="14">
        <f>'Расчёт'!C113</f>
        <v>102009.59999999999</v>
      </c>
      <c r="D10" s="18">
        <f>'Расчёт'!C112</f>
        <v>24.639999999999997</v>
      </c>
    </row>
    <row r="11">
      <c r="B11" s="1" t="str">
        <f>'Расчёт'!B119</f>
        <v xml:space="preserve">Пиломатериал на потолок первого этажа</v>
      </c>
      <c r="C11" s="14">
        <f>'Расчёт'!C119</f>
        <v>26272.784999999993</v>
      </c>
      <c r="D11" s="17">
        <f>'Расчёт'!C118</f>
        <v>1.0625999999999998</v>
      </c>
    </row>
    <row r="12">
      <c r="B12" s="1" t="str">
        <f>'Расчёт'!B152</f>
        <v xml:space="preserve">Пиломатериал под кровлю</v>
      </c>
      <c r="C12" s="14">
        <f>'Расчёт'!C152</f>
        <v>125255.27692214846</v>
      </c>
      <c r="D12" s="17">
        <f>'Расчёт'!C151</f>
        <v>5.0659363770333048</v>
      </c>
    </row>
    <row r="13">
      <c r="B13" s="1" t="str">
        <f>'Расчёт'!B155</f>
        <v xml:space="preserve">Стоимость кровли из металлочерепицы</v>
      </c>
      <c r="C13" s="14">
        <f>'Расчёт'!C155</f>
        <v>197416.9134117112</v>
      </c>
      <c r="D13" s="19">
        <f>'Расчёт'!C154</f>
        <v>95.37048957087498</v>
      </c>
    </row>
    <row r="14">
      <c r="B14" s="1" t="str">
        <f>'Расчёт'!B160</f>
        <v xml:space="preserve">Стоимость крепежа</v>
      </c>
      <c r="C14" s="14">
        <f>'Расчёт'!C160</f>
        <v>92400</v>
      </c>
    </row>
    <row r="15">
      <c r="B15" s="1" t="str">
        <f>'Расчёт'!B168</f>
        <v xml:space="preserve">Стоимость каркаса межкомнатных перегородок</v>
      </c>
      <c r="C15" s="14">
        <f>'Расчёт'!C168*2</f>
        <v>69271.208333333343</v>
      </c>
      <c r="D15" s="20">
        <f>'Расчёт'!C167</f>
        <v>1.4008333333333336</v>
      </c>
    </row>
    <row r="16">
      <c r="B16" s="1" t="str">
        <f>'Расчёт'!B163</f>
        <v xml:space="preserve">Стоимость монтажа теплового контура</v>
      </c>
      <c r="C16" s="14">
        <f>'Расчёт'!C163</f>
        <v>252000</v>
      </c>
    </row>
    <row r="17">
      <c r="B17" s="1" t="str">
        <f>'Расчёт'!B170</f>
        <v xml:space="preserve">Стоимость раскроя СИП панелей</v>
      </c>
      <c r="C17" s="14">
        <f>'Расчёт'!C170</f>
        <v>33296.639999999999</v>
      </c>
    </row>
    <row r="18">
      <c r="B18" s="1" t="str">
        <f>'Расчёт'!B179</f>
        <v xml:space="preserve">Стоимость входных дверей с терморазрывом</v>
      </c>
      <c r="C18" s="14">
        <f>'Расчёт'!C179</f>
        <v>54000</v>
      </c>
    </row>
    <row r="19">
      <c r="B19" s="1" t="str">
        <f>'Расчёт'!B181</f>
        <v xml:space="preserve">Стоимость оконных конструкций с монтажём</v>
      </c>
      <c r="C19" s="14">
        <f>'Расчёт'!C181</f>
        <v>63000</v>
      </c>
      <c r="D19" s="1">
        <f>'Ввод данных'!I3</f>
        <v>3</v>
      </c>
    </row>
    <row r="20">
      <c r="B20" s="1" t="str">
        <f>'Расчёт'!B183</f>
        <v xml:space="preserve">Стоимость вентиляционных выходов с монтажём (1 выход на крыше, без укладки каналов)</v>
      </c>
      <c r="C20" s="14">
        <f>'Расчёт'!C183</f>
        <v>42000</v>
      </c>
      <c r="D20" s="1">
        <f>'Ввод данных'!I4</f>
        <v>3</v>
      </c>
    </row>
    <row r="21">
      <c r="B21" s="1" t="str">
        <f>'Расчёт'!B62</f>
        <v xml:space="preserve">Общая стоимость за крыльцо (без настила и ограждения)</v>
      </c>
      <c r="C21" s="14">
        <f>'Расчёт'!C62+'Расчёт'!C16</f>
        <v>58117.487500000003</v>
      </c>
      <c r="D21" s="20">
        <f>'Ввод данных'!B4*'Ввод данных'!C4</f>
        <v>6</v>
      </c>
      <c r="F21" s="1" t="str">
        <f>'Расчёт'!B23</f>
        <v xml:space="preserve">Фундамент крыльца (свая железобетонная 150х3000, с оголовком)</v>
      </c>
      <c r="H21" s="16">
        <f>'Расчёт'!C23</f>
        <v>14025</v>
      </c>
    </row>
    <row r="22">
      <c r="B22" s="1" t="str">
        <f>'Расчёт'!B81</f>
        <v xml:space="preserve">Общая стоимость за террасу (без настила и ограждения)</v>
      </c>
      <c r="C22" s="14">
        <f>'Расчёт'!C81+'Расчёт'!C17</f>
        <v>53196.046875</v>
      </c>
      <c r="D22" s="20">
        <f>'Ввод данных'!B5*'Ввод данных'!C5</f>
        <v>4</v>
      </c>
      <c r="F22" s="1" t="str">
        <f>Расчёт!B24</f>
        <v xml:space="preserve">Фундамент террасы (свая железобетонная 150х3000, с оголовком)</v>
      </c>
      <c r="H22" s="16">
        <f>Расчёт!C24</f>
        <v>8415</v>
      </c>
    </row>
    <row r="23">
      <c r="B23" s="1" t="str">
        <f>'Расчёт'!B186</f>
        <v xml:space="preserve">Стоимость ОСП на фронтоны</v>
      </c>
      <c r="C23" s="14">
        <f>'Расчёт'!C186</f>
        <v>6373.9469718534683</v>
      </c>
      <c r="D23" s="20">
        <f>'Расчёт'!C185</f>
        <v>28.867513459481287</v>
      </c>
    </row>
    <row r="24">
      <c r="B24" s="1" t="s">
        <v>77</v>
      </c>
      <c r="C24" s="14">
        <v>70000</v>
      </c>
    </row>
    <row r="25">
      <c r="B25" s="1" t="s">
        <v>67</v>
      </c>
      <c r="C25" s="14">
        <f>'Ввод данных'!D50</f>
        <v>40000</v>
      </c>
    </row>
    <row r="26">
      <c r="B26" s="4" t="s">
        <v>78</v>
      </c>
      <c r="C26" s="21">
        <f>SUM(C3:C25)+G8</f>
        <v>1857839.3700140463</v>
      </c>
      <c r="D26" s="4">
        <f>C26*2+C26*0.4</f>
        <v>4458814.488033711</v>
      </c>
    </row>
    <row r="27">
      <c r="C27" s="14"/>
    </row>
    <row r="28">
      <c r="C28" s="14"/>
      <c r="F28" s="22" t="s">
        <v>79</v>
      </c>
      <c r="H28" s="23">
        <v>30000</v>
      </c>
    </row>
    <row r="29">
      <c r="B29" s="4" t="s">
        <v>80</v>
      </c>
      <c r="C29" s="21">
        <f>SUM(C5:C15)+G8+C17</f>
        <v>1045626.888667193</v>
      </c>
      <c r="D29" s="4"/>
      <c r="F29" s="22" t="s">
        <v>81</v>
      </c>
      <c r="H29" s="23">
        <v>939000</v>
      </c>
    </row>
    <row r="30">
      <c r="C30" s="14"/>
      <c r="F30" s="22" t="s">
        <v>82</v>
      </c>
      <c r="H30" s="23">
        <v>748000</v>
      </c>
    </row>
    <row r="31">
      <c r="B31" s="1" t="s">
        <v>83</v>
      </c>
      <c r="C31" s="14"/>
      <c r="D31" s="20">
        <f>D5+D7+D9+D11+D12+D15</f>
        <v>14.556769710366638</v>
      </c>
      <c r="F31" s="22" t="s">
        <v>84</v>
      </c>
      <c r="H31" s="23">
        <v>385000</v>
      </c>
    </row>
    <row r="32">
      <c r="C32" s="14"/>
      <c r="F32" s="22" t="s">
        <v>85</v>
      </c>
      <c r="H32" s="23">
        <v>575000</v>
      </c>
    </row>
    <row r="33">
      <c r="C33" s="14"/>
      <c r="F33" s="22" t="s">
        <v>86</v>
      </c>
      <c r="H33" s="23">
        <v>296000</v>
      </c>
    </row>
    <row r="34">
      <c r="C34" s="14"/>
      <c r="F34" s="22" t="s">
        <v>87</v>
      </c>
      <c r="H34" s="23">
        <v>74000</v>
      </c>
    </row>
    <row r="35">
      <c r="C35" s="14"/>
      <c r="F35" s="22" t="s">
        <v>88</v>
      </c>
      <c r="H35" s="23">
        <v>826000</v>
      </c>
    </row>
    <row r="36">
      <c r="C36" s="14"/>
      <c r="F36" s="22" t="s">
        <v>89</v>
      </c>
      <c r="H36" s="23">
        <v>224000</v>
      </c>
    </row>
    <row r="37">
      <c r="B37" s="1" t="s">
        <v>90</v>
      </c>
      <c r="C37" s="14"/>
      <c r="F37" s="22" t="s">
        <v>91</v>
      </c>
      <c r="H37" s="23">
        <v>214000</v>
      </c>
    </row>
    <row r="38" ht="25.5">
      <c r="B38" s="24" t="s">
        <v>75</v>
      </c>
      <c r="C38" s="25" t="s">
        <v>45</v>
      </c>
      <c r="F38" s="22" t="s">
        <v>92</v>
      </c>
      <c r="H38" s="23">
        <v>120000</v>
      </c>
    </row>
    <row r="39" ht="25.5">
      <c r="B39" s="26" t="s">
        <v>93</v>
      </c>
      <c r="C39" s="27">
        <f t="shared" ref="C39:C40" si="2">C4*1.5</f>
        <v>224587.5</v>
      </c>
      <c r="F39" s="28" t="s">
        <v>94</v>
      </c>
      <c r="H39" s="23">
        <f>SUM(H28:H38)</f>
        <v>4431000</v>
      </c>
    </row>
    <row r="40">
      <c r="B40" s="26" t="s">
        <v>95</v>
      </c>
      <c r="C40" s="27">
        <f t="shared" si="2"/>
        <v>79330.162500000006</v>
      </c>
    </row>
    <row r="41">
      <c r="B41" s="26" t="s">
        <v>96</v>
      </c>
      <c r="C41" s="27">
        <f t="shared" ref="C41:C42" si="3">C6</f>
        <v>113343.99999999999</v>
      </c>
    </row>
    <row r="42">
      <c r="B42" s="26" t="s">
        <v>97</v>
      </c>
      <c r="C42" s="27">
        <f t="shared" si="3"/>
        <v>87575.949999999997</v>
      </c>
    </row>
    <row r="43">
      <c r="B43" s="26" t="s">
        <v>98</v>
      </c>
      <c r="C43" s="27">
        <f t="shared" ref="C43:C44" si="4">C8*2</f>
        <v>225216</v>
      </c>
    </row>
    <row r="44">
      <c r="B44" s="26" t="s">
        <v>99</v>
      </c>
      <c r="C44" s="27">
        <f t="shared" si="4"/>
        <v>66579.479999999996</v>
      </c>
    </row>
    <row r="45">
      <c r="B45" s="26" t="s">
        <v>100</v>
      </c>
      <c r="C45" s="27">
        <f>C10*2*1.5</f>
        <v>306028.79999999999</v>
      </c>
    </row>
    <row r="46">
      <c r="B46" s="26" t="s">
        <v>101</v>
      </c>
      <c r="C46" s="27">
        <f>C11*2</f>
        <v>52545.569999999985</v>
      </c>
    </row>
    <row r="47">
      <c r="B47" s="26" t="s">
        <v>102</v>
      </c>
      <c r="C47" s="27">
        <f t="shared" ref="C47:C48" si="5">C12</f>
        <v>125255.27692214846</v>
      </c>
    </row>
    <row r="48">
      <c r="B48" s="26" t="s">
        <v>103</v>
      </c>
      <c r="C48" s="27">
        <f t="shared" si="5"/>
        <v>197416.9134117112</v>
      </c>
    </row>
    <row r="49">
      <c r="B49" s="26" t="s">
        <v>104</v>
      </c>
      <c r="C49" s="27">
        <f t="shared" ref="C49:C52" si="6">C14*2</f>
        <v>184800</v>
      </c>
    </row>
    <row r="50">
      <c r="B50" s="26" t="s">
        <v>105</v>
      </c>
      <c r="C50" s="27">
        <f t="shared" si="6"/>
        <v>138542.41666666669</v>
      </c>
    </row>
    <row r="51">
      <c r="B51" s="26" t="s">
        <v>106</v>
      </c>
      <c r="C51" s="27">
        <f t="shared" si="6"/>
        <v>504000</v>
      </c>
    </row>
    <row r="52">
      <c r="B52" s="26" t="s">
        <v>107</v>
      </c>
      <c r="C52" s="27">
        <f t="shared" si="6"/>
        <v>66593.279999999999</v>
      </c>
    </row>
    <row r="53">
      <c r="B53" s="29" t="s">
        <v>78</v>
      </c>
      <c r="C53" s="30">
        <f>SUM(C39:C52)</f>
        <v>2371815.3495005262</v>
      </c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  <row r="983">
      <c r="C983" s="14"/>
    </row>
    <row r="984">
      <c r="C984" s="14"/>
    </row>
    <row r="985">
      <c r="C985" s="14"/>
    </row>
    <row r="986">
      <c r="C986" s="14"/>
    </row>
    <row r="987">
      <c r="C987" s="14"/>
    </row>
    <row r="988">
      <c r="C988" s="14"/>
    </row>
    <row r="989">
      <c r="C989" s="14"/>
    </row>
    <row r="990">
      <c r="C990" s="14"/>
    </row>
    <row r="991">
      <c r="C991" s="14"/>
    </row>
    <row r="992">
      <c r="C992" s="14"/>
    </row>
    <row r="993">
      <c r="C993" s="14"/>
    </row>
    <row r="994">
      <c r="C994" s="14"/>
    </row>
    <row r="995">
      <c r="C995" s="14"/>
    </row>
    <row r="996">
      <c r="C996" s="1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A29"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2.8799999999999999"/>
    <col customWidth="1" min="2" max="2" width="72.421875"/>
    <col customWidth="1" min="4" max="4" width="21.7109375"/>
    <col customWidth="1" min="5" max="5" width="21.879999999999999"/>
  </cols>
  <sheetData>
    <row r="1">
      <c r="A1">
        <v>1</v>
      </c>
      <c r="B1" s="31" t="s">
        <v>108</v>
      </c>
      <c r="C1" s="1" t="s">
        <v>45</v>
      </c>
      <c r="D1" s="1" t="s">
        <v>109</v>
      </c>
    </row>
    <row r="2">
      <c r="A2" s="1"/>
      <c r="B2" s="1" t="s">
        <v>110</v>
      </c>
      <c r="C2" s="1">
        <f>'Ввод данных'!B3*'Ввод данных'!C3*D2</f>
        <v>23800</v>
      </c>
      <c r="D2" s="10">
        <v>340</v>
      </c>
    </row>
    <row r="3">
      <c r="A3" s="1"/>
      <c r="B3" s="1"/>
      <c r="C3" s="1"/>
    </row>
    <row r="4">
      <c r="A4" s="1"/>
      <c r="B4" s="1"/>
      <c r="C4" s="1"/>
    </row>
    <row r="5">
      <c r="A5" s="1"/>
      <c r="B5" s="1"/>
      <c r="C5" s="1"/>
    </row>
    <row r="6">
      <c r="A6" s="1"/>
      <c r="B6" s="1"/>
      <c r="C6" s="1"/>
    </row>
    <row r="7">
      <c r="A7" s="1"/>
      <c r="B7" s="1"/>
      <c r="C7" s="1"/>
    </row>
    <row r="8">
      <c r="A8" s="1"/>
      <c r="B8" s="1"/>
      <c r="C8" s="1"/>
    </row>
    <row r="9">
      <c r="A9" s="1">
        <v>2</v>
      </c>
      <c r="B9" s="31" t="s">
        <v>111</v>
      </c>
      <c r="C9" s="1" t="s">
        <v>112</v>
      </c>
    </row>
    <row r="10">
      <c r="B10" s="32" t="s">
        <v>113</v>
      </c>
      <c r="C10" s="33">
        <f>('Ввод данных'!B3/'Ввод данных'!B8+1)*('Ввод данных'!C3/'Ввод данных'!B8+1)</f>
        <v>27</v>
      </c>
    </row>
    <row r="11">
      <c r="B11" s="32" t="s">
        <v>114</v>
      </c>
      <c r="C11" s="33">
        <f>IF('Ввод данных'!B4=0,0,(('Ввод данных'!B4/'Ввод данных'!B8)*('Ввод данных'!C4/'Ввод данных'!B8+1)))</f>
        <v>2.5</v>
      </c>
    </row>
    <row r="12">
      <c r="B12" s="32" t="s">
        <v>115</v>
      </c>
      <c r="C12" s="33">
        <f>IF('Ввод данных'!B5=0,0,(('Ввод данных'!B5/'Ввод данных'!B8)*('Ввод данных'!C5/'Ввод данных'!B8+1)))</f>
        <v>1.5</v>
      </c>
    </row>
    <row r="14">
      <c r="B14" s="1" t="s">
        <v>116</v>
      </c>
      <c r="C14" s="15" t="s">
        <v>117</v>
      </c>
      <c r="D14" s="1" t="s">
        <v>118</v>
      </c>
      <c r="E14" s="1" t="s">
        <v>119</v>
      </c>
    </row>
    <row r="15">
      <c r="B15" s="1" t="s">
        <v>93</v>
      </c>
      <c r="C15" s="16">
        <f>C10*('Ввод данных'!D28+'Ввод данных'!D29)</f>
        <v>139725</v>
      </c>
      <c r="D15" s="16">
        <f>C10*('Ввод данных'!B28+'Ввод данных'!B29)</f>
        <v>121500</v>
      </c>
      <c r="E15" s="16">
        <f t="shared" ref="E15:E26" si="7">C15-D15</f>
        <v>18225</v>
      </c>
    </row>
    <row r="16">
      <c r="B16" s="1" t="s">
        <v>120</v>
      </c>
      <c r="C16" s="16">
        <f>C11*('Ввод данных'!D28+'Ввод данных'!D29)</f>
        <v>12937.5</v>
      </c>
      <c r="D16" s="16">
        <f>C11*('Ввод данных'!B28+'Ввод данных'!B29)</f>
        <v>11250</v>
      </c>
      <c r="E16" s="16">
        <f t="shared" si="7"/>
        <v>1687.5</v>
      </c>
    </row>
    <row r="17">
      <c r="B17" s="1" t="s">
        <v>121</v>
      </c>
      <c r="C17" s="16">
        <f>C12*('Ввод данных'!D28+'Ввод данных'!D29)</f>
        <v>7762.5</v>
      </c>
      <c r="D17" s="16">
        <f>C12*('Ввод данных'!B28+'Ввод данных'!B29)</f>
        <v>6750</v>
      </c>
      <c r="E17" s="16">
        <f t="shared" si="7"/>
        <v>1012.5</v>
      </c>
    </row>
    <row r="18">
      <c r="B18" s="1" t="s">
        <v>122</v>
      </c>
      <c r="C18" s="16">
        <f>'Ввод данных'!D30</f>
        <v>10000</v>
      </c>
      <c r="D18" s="16">
        <f>'Ввод данных'!B30</f>
        <v>10000</v>
      </c>
      <c r="E18" s="16">
        <f t="shared" si="7"/>
        <v>0</v>
      </c>
    </row>
    <row r="19">
      <c r="B19" s="34" t="s">
        <v>123</v>
      </c>
      <c r="C19" s="35">
        <f t="shared" ref="C19:D19" si="8">SUM(C15:C18)</f>
        <v>170425</v>
      </c>
      <c r="D19" s="16">
        <f t="shared" si="8"/>
        <v>149500</v>
      </c>
      <c r="E19" s="16">
        <f t="shared" si="7"/>
        <v>20925</v>
      </c>
    </row>
    <row r="20">
      <c r="B20" s="1"/>
      <c r="C20" s="16"/>
      <c r="D20" s="16"/>
      <c r="E20" s="16"/>
    </row>
    <row r="21">
      <c r="B21" s="1" t="s">
        <v>124</v>
      </c>
      <c r="C21" s="16"/>
      <c r="D21" s="16"/>
      <c r="E21" s="16"/>
    </row>
    <row r="22">
      <c r="B22" s="1" t="s">
        <v>125</v>
      </c>
      <c r="C22" s="16">
        <f>C10*('Ввод данных'!D31+'Ввод данных'!D32)</f>
        <v>151470</v>
      </c>
      <c r="D22" s="16">
        <f>C10*('Ввод данных'!B31+'Ввод данных'!B32)</f>
        <v>137700</v>
      </c>
      <c r="E22" s="16">
        <f t="shared" si="7"/>
        <v>13770</v>
      </c>
    </row>
    <row r="23">
      <c r="B23" s="1" t="s">
        <v>126</v>
      </c>
      <c r="C23" s="16">
        <f>C11*('Ввод данных'!D31+'Ввод данных'!D32)</f>
        <v>14025</v>
      </c>
      <c r="D23" s="16">
        <f>C11*('Ввод данных'!B31+'Ввод данных'!B32)</f>
        <v>12750</v>
      </c>
      <c r="E23" s="16">
        <f t="shared" si="7"/>
        <v>1275</v>
      </c>
    </row>
    <row r="24">
      <c r="B24" s="1" t="s">
        <v>127</v>
      </c>
      <c r="C24" s="16">
        <f>C12*('Ввод данных'!D31+'Ввод данных'!D32)</f>
        <v>8415</v>
      </c>
      <c r="D24" s="16">
        <f>C12*('Ввод данных'!B31+'Ввод данных'!B32)</f>
        <v>7650</v>
      </c>
      <c r="E24" s="16">
        <f t="shared" si="7"/>
        <v>765</v>
      </c>
    </row>
    <row r="25">
      <c r="B25" s="1" t="s">
        <v>122</v>
      </c>
      <c r="C25" s="16">
        <f>'Ввод данных'!D33</f>
        <v>15000</v>
      </c>
      <c r="D25" s="16">
        <f>'Ввод данных'!B33</f>
        <v>15000</v>
      </c>
      <c r="E25" s="16">
        <f t="shared" si="7"/>
        <v>0</v>
      </c>
    </row>
    <row r="26">
      <c r="B26" s="34" t="s">
        <v>128</v>
      </c>
      <c r="C26" s="35">
        <f t="shared" ref="C26:D26" si="9">SUM(C22:C25)</f>
        <v>188910</v>
      </c>
      <c r="D26" s="16">
        <f t="shared" si="9"/>
        <v>173100</v>
      </c>
      <c r="E26" s="16">
        <f t="shared" si="7"/>
        <v>15810</v>
      </c>
    </row>
    <row r="28">
      <c r="A28" s="1">
        <v>3</v>
      </c>
      <c r="B28" s="31" t="s">
        <v>129</v>
      </c>
    </row>
    <row r="29">
      <c r="B29" s="1" t="s">
        <v>130</v>
      </c>
      <c r="D29" s="1"/>
    </row>
    <row r="30">
      <c r="B30" s="1" t="s">
        <v>131</v>
      </c>
      <c r="C30" s="20">
        <f>('Ввод данных'!B3/'Ввод данных'!B8+1)*'Ввод данных'!C3*3</f>
        <v>126</v>
      </c>
      <c r="D30" s="1" t="s">
        <v>132</v>
      </c>
      <c r="E30" s="20">
        <f>C30*'Ввод данных'!B13*'Ввод данных'!C13</f>
        <v>1.2600000000000002</v>
      </c>
    </row>
    <row r="31">
      <c r="B31" s="1" t="s">
        <v>133</v>
      </c>
      <c r="C31" s="1">
        <f>'Ввод данных'!B3*2*3</f>
        <v>60</v>
      </c>
      <c r="D31" s="1" t="s">
        <v>134</v>
      </c>
      <c r="E31" s="1">
        <f>C31*'Ввод данных'!B13*'Ввод данных'!C13</f>
        <v>0.60000000000000009</v>
      </c>
    </row>
    <row r="32">
      <c r="B32" s="1" t="s">
        <v>135</v>
      </c>
      <c r="C32" s="20">
        <f>E30+E31</f>
        <v>1.8600000000000003</v>
      </c>
    </row>
    <row r="33">
      <c r="B33" s="1" t="s">
        <v>136</v>
      </c>
      <c r="C33" s="36">
        <v>0.14999999999999999</v>
      </c>
    </row>
    <row r="34">
      <c r="B34" s="32" t="s">
        <v>137</v>
      </c>
      <c r="C34" s="37">
        <f>C32+C32*C33</f>
        <v>2.1390000000000002</v>
      </c>
    </row>
    <row r="35">
      <c r="B35" s="34" t="s">
        <v>95</v>
      </c>
      <c r="C35" s="35">
        <f>C34*'Ввод данных'!D42</f>
        <v>52886.775000000009</v>
      </c>
      <c r="D35" s="16">
        <f>C34*'Ввод данных'!B42</f>
        <v>45988.500000000007</v>
      </c>
    </row>
    <row r="36">
      <c r="G36" s="16"/>
    </row>
    <row r="37">
      <c r="B37" s="1" t="s">
        <v>138</v>
      </c>
    </row>
    <row r="38">
      <c r="B38" s="1" t="s">
        <v>131</v>
      </c>
      <c r="C38" s="1">
        <f>'Ввод данных'!C3*2*3</f>
        <v>42</v>
      </c>
      <c r="D38" s="1" t="s">
        <v>132</v>
      </c>
      <c r="E38" s="20">
        <f>C38*'Ввод данных'!B13*'Ввод данных'!C13</f>
        <v>0.42000000000000004</v>
      </c>
    </row>
    <row r="39">
      <c r="B39" s="1" t="s">
        <v>133</v>
      </c>
      <c r="C39" s="20">
        <f>('Ввод данных'!C3/'Ввод данных'!B8+1)*'Ввод данных'!B3*3</f>
        <v>135</v>
      </c>
      <c r="D39" s="1" t="s">
        <v>134</v>
      </c>
      <c r="E39" s="20">
        <f>C39*'Ввод данных'!B13*'Ввод данных'!C13</f>
        <v>1.3500000000000001</v>
      </c>
    </row>
    <row r="40">
      <c r="B40" s="1" t="s">
        <v>139</v>
      </c>
      <c r="C40" s="20">
        <f>E38+E39</f>
        <v>1.77</v>
      </c>
    </row>
    <row r="41">
      <c r="B41" s="1" t="s">
        <v>136</v>
      </c>
      <c r="C41" s="36">
        <v>0.14999999999999999</v>
      </c>
    </row>
    <row r="42">
      <c r="B42" s="32" t="s">
        <v>140</v>
      </c>
      <c r="C42" s="38">
        <f>C40+C40*C41</f>
        <v>2.0354999999999999</v>
      </c>
    </row>
    <row r="43">
      <c r="B43" s="34" t="s">
        <v>141</v>
      </c>
      <c r="C43" s="35">
        <f>C42*'Ввод данных'!D42</f>
        <v>50327.737499999996</v>
      </c>
      <c r="D43" s="16">
        <f>C42*'Ввод данных'!B42</f>
        <v>43763.25</v>
      </c>
    </row>
    <row r="44">
      <c r="A44" s="1"/>
      <c r="B44" s="1"/>
    </row>
    <row r="45">
      <c r="A45" s="1">
        <v>4</v>
      </c>
      <c r="B45" s="31" t="s">
        <v>142</v>
      </c>
    </row>
    <row r="46">
      <c r="A46" s="9"/>
      <c r="B46" s="1" t="s">
        <v>131</v>
      </c>
      <c r="C46" s="1">
        <f>'Ввод данных'!C4*2*3</f>
        <v>18</v>
      </c>
      <c r="D46" s="1" t="s">
        <v>132</v>
      </c>
      <c r="E46" s="1">
        <f>C46*'Ввод данных'!B13*'Ввод данных'!C13</f>
        <v>0.18000000000000002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1" t="s">
        <v>133</v>
      </c>
      <c r="C47" s="20">
        <f>('Ввод данных'!C4/'Ввод данных'!B8+1)*'Ввод данных'!B4*3</f>
        <v>15</v>
      </c>
      <c r="D47" s="1" t="s">
        <v>134</v>
      </c>
      <c r="E47" s="39">
        <f>C47*'Ввод данных'!B13*'Ввод данных'!C13</f>
        <v>0.15000000000000002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1" t="s">
        <v>139</v>
      </c>
      <c r="C48" s="39">
        <f>E46+E47</f>
        <v>0.33000000000000007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>
      <c r="A49" s="9"/>
      <c r="B49" s="1" t="s">
        <v>136</v>
      </c>
      <c r="C49" s="36">
        <v>0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32" t="s">
        <v>140</v>
      </c>
      <c r="C50" s="40">
        <f>C48+C48*C49</f>
        <v>0.33000000000000007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34" t="s">
        <v>141</v>
      </c>
      <c r="C51" s="35">
        <f>C50*'Ввод данных'!D42</f>
        <v>8159.2500000000018</v>
      </c>
      <c r="D51" s="16">
        <f>C50*'Ввод данных'!B42</f>
        <v>7095.0000000000018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1"/>
      <c r="C52" s="16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1" t="s">
        <v>143</v>
      </c>
      <c r="C53" s="41">
        <f>((('Ввод данных'!B4+'Ввод данных'!C4)*2/0.6*2+'Ввод данных'!E3*C11*4+'Ввод данных'!B4/0.6*'Ввод данных'!C4*4))*'Ввод данных'!B15*'Ввод данных'!C15</f>
        <v>0.73750000000000004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1" t="s">
        <v>144</v>
      </c>
      <c r="C54" s="16">
        <f>C53*'Ввод данных'!D42</f>
        <v>18234.6875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1"/>
      <c r="C55" s="16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1" t="s">
        <v>145</v>
      </c>
      <c r="C56" s="16">
        <f>'Ввод данных'!B4*'Ввод данных'!C4*500</f>
        <v>3000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1"/>
      <c r="C57" s="16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1" t="s">
        <v>146</v>
      </c>
      <c r="C58" s="16">
        <f>'Ввод данных'!B4*'Ввод данных'!C4*'Ввод данных'!D46</f>
        <v>12420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1"/>
      <c r="C59" s="16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1" t="s">
        <v>147</v>
      </c>
      <c r="C60" s="16">
        <f>'Ввод данных'!B4*'Ввод данных'!C4*'Ввод данных'!D48</f>
        <v>21600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1"/>
      <c r="C61" s="16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34" t="s">
        <v>148</v>
      </c>
      <c r="C62" s="35">
        <f>C60+C58+C56+C53+C51</f>
        <v>45179.987500000003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4">
      <c r="A64" s="1">
        <v>5</v>
      </c>
      <c r="B64" s="31" t="s">
        <v>149</v>
      </c>
    </row>
    <row r="65">
      <c r="B65" s="1" t="s">
        <v>131</v>
      </c>
      <c r="C65" s="1">
        <f>'Ввод данных'!C5*2*3</f>
        <v>24</v>
      </c>
      <c r="D65" s="1" t="s">
        <v>132</v>
      </c>
      <c r="E65" s="1">
        <f>C65*'Ввод данных'!B13*'Ввод данных'!C13</f>
        <v>0.24000000000000005</v>
      </c>
    </row>
    <row r="66">
      <c r="B66" s="1" t="s">
        <v>133</v>
      </c>
      <c r="C66" s="20">
        <f>('Ввод данных'!C5/'Ввод данных'!B8+1)*'Ввод данных'!B5*3</f>
        <v>9</v>
      </c>
      <c r="D66" s="1" t="s">
        <v>134</v>
      </c>
      <c r="E66" s="39">
        <f>C66*'Ввод данных'!B13*'Ввод данных'!C13</f>
        <v>0.090000000000000011</v>
      </c>
    </row>
    <row r="67">
      <c r="B67" s="1" t="s">
        <v>139</v>
      </c>
      <c r="C67" s="39">
        <f>E65+E66</f>
        <v>0.33000000000000007</v>
      </c>
    </row>
    <row r="68">
      <c r="B68" s="1" t="s">
        <v>136</v>
      </c>
      <c r="C68" s="36">
        <v>0</v>
      </c>
    </row>
    <row r="69">
      <c r="B69" s="32" t="s">
        <v>140</v>
      </c>
      <c r="C69" s="40">
        <f>C67+C67*C68</f>
        <v>0.33000000000000007</v>
      </c>
    </row>
    <row r="70">
      <c r="B70" s="34" t="s">
        <v>141</v>
      </c>
      <c r="C70" s="35">
        <f>C69*'Ввод данных'!D42</f>
        <v>8159.2500000000018</v>
      </c>
      <c r="D70" s="16">
        <f>C69*'Ввод данных'!B42</f>
        <v>7095.0000000000018</v>
      </c>
    </row>
    <row r="71">
      <c r="B71" s="1"/>
      <c r="C71" s="16"/>
      <c r="D71" s="16"/>
    </row>
    <row r="72">
      <c r="B72" s="1" t="s">
        <v>150</v>
      </c>
      <c r="C72" s="41">
        <f>(('Ввод данных'!B5+'Ввод данных'!C5)*2*3+'Ввод данных'!B5/0.6*'Ввод данных'!C5+C12*'Ввод данных'!E3*3+'Ввод данных'!B5/0.6*'Ввод данных'!C5*3)*'Ввод данных'!B15*'Ввод данных'!C15</f>
        <v>0.50937499999999991</v>
      </c>
      <c r="D72" s="16"/>
    </row>
    <row r="73">
      <c r="B73" s="1" t="s">
        <v>151</v>
      </c>
      <c r="C73" s="16">
        <f>C72*'Ввод данных'!D42</f>
        <v>12594.296874999998</v>
      </c>
      <c r="D73" s="16"/>
    </row>
    <row r="74">
      <c r="B74" s="1"/>
      <c r="C74" s="16"/>
      <c r="D74" s="16"/>
    </row>
    <row r="75">
      <c r="B75" s="1" t="s">
        <v>152</v>
      </c>
      <c r="C75" s="16">
        <f>'Ввод данных'!B5*'Ввод данных'!C5*500</f>
        <v>2000</v>
      </c>
      <c r="D75" s="16"/>
    </row>
    <row r="76">
      <c r="B76" s="1"/>
      <c r="C76" s="16"/>
      <c r="D76" s="16"/>
    </row>
    <row r="77">
      <c r="B77" s="1" t="s">
        <v>153</v>
      </c>
      <c r="C77" s="16">
        <f>'Ввод данных'!B5*'Ввод данных'!C5*'Ввод данных'!D46</f>
        <v>8280</v>
      </c>
      <c r="D77" s="16"/>
    </row>
    <row r="78">
      <c r="B78" s="1"/>
      <c r="C78" s="16"/>
      <c r="D78" s="16"/>
    </row>
    <row r="79">
      <c r="B79" s="1" t="s">
        <v>154</v>
      </c>
      <c r="C79" s="16">
        <f>'Ввод данных'!B5*'Ввод данных'!C5*'Ввод данных'!D48</f>
        <v>14400</v>
      </c>
      <c r="D79" s="16"/>
    </row>
    <row r="80">
      <c r="B80" s="1"/>
      <c r="C80" s="16"/>
      <c r="D80" s="16"/>
    </row>
    <row r="81">
      <c r="B81" s="34" t="s">
        <v>155</v>
      </c>
      <c r="C81" s="35">
        <f>C79+C77+C75+C73+C70</f>
        <v>45433.546875</v>
      </c>
      <c r="D81" s="16"/>
    </row>
    <row r="83">
      <c r="A83" s="1">
        <v>6</v>
      </c>
      <c r="B83" s="31" t="s">
        <v>12</v>
      </c>
    </row>
    <row r="84">
      <c r="B84" s="1" t="s">
        <v>156</v>
      </c>
      <c r="C84" s="15">
        <f>'Ввод данных'!B3*'Ввод данных'!C3/'Ввод данных'!D20</f>
        <v>22.399999999999999</v>
      </c>
    </row>
    <row r="85">
      <c r="B85" s="1" t="s">
        <v>136</v>
      </c>
      <c r="C85" s="36">
        <v>0.10000000000000001</v>
      </c>
    </row>
    <row r="86">
      <c r="B86" s="32" t="s">
        <v>78</v>
      </c>
      <c r="C86" s="33">
        <f>C84+C84*C85</f>
        <v>24.639999999999997</v>
      </c>
    </row>
    <row r="87">
      <c r="B87" s="1" t="s">
        <v>96</v>
      </c>
      <c r="C87" s="16">
        <f>if('Ввод данных'!G3=0.224,C86*'Ввод данных'!D37,C86*'Ввод данных'!D35)</f>
        <v>113343.99999999999</v>
      </c>
    </row>
    <row r="88">
      <c r="B88" s="1"/>
    </row>
    <row r="89">
      <c r="B89" s="1" t="s">
        <v>157</v>
      </c>
      <c r="C89" s="1">
        <f>C86*2*('Ввод данных'!B20+'Ввод данных'!B19/2)*'Ввод данных'!E3</f>
        <v>384.99999999999994</v>
      </c>
    </row>
    <row r="90">
      <c r="B90" s="1" t="s">
        <v>158</v>
      </c>
      <c r="C90" s="20">
        <f>C89*'Ввод данных'!B24*('Ввод данных'!G3-0.024)</f>
        <v>3.0800000000000001</v>
      </c>
    </row>
    <row r="91">
      <c r="B91" s="1" t="s">
        <v>136</v>
      </c>
      <c r="C91" s="36">
        <v>0.14999999999999999</v>
      </c>
    </row>
    <row r="92">
      <c r="B92" s="32" t="s">
        <v>159</v>
      </c>
      <c r="C92" s="37">
        <f>C90+C90*C91</f>
        <v>3.5419999999999998</v>
      </c>
    </row>
    <row r="93">
      <c r="B93" s="1" t="s">
        <v>97</v>
      </c>
      <c r="C93" s="16">
        <f>C92*'Ввод данных'!D42</f>
        <v>87575.949999999997</v>
      </c>
      <c r="D93" s="16">
        <f>C92*'Ввод данных'!B42</f>
        <v>76153</v>
      </c>
    </row>
    <row r="94">
      <c r="B94" s="34" t="s">
        <v>160</v>
      </c>
      <c r="C94" s="35">
        <f>C87+C93</f>
        <v>200919.94999999998</v>
      </c>
      <c r="D94" s="16"/>
    </row>
    <row r="96">
      <c r="A96" s="1">
        <v>7</v>
      </c>
      <c r="B96" s="31" t="s">
        <v>17</v>
      </c>
    </row>
    <row r="97">
      <c r="B97" s="32" t="s">
        <v>156</v>
      </c>
      <c r="C97" s="32">
        <f>('Ввод данных'!B3+'Ввод данных'!C3)*2/1.25</f>
        <v>27.199999999999999</v>
      </c>
    </row>
    <row r="98">
      <c r="B98" s="1" t="s">
        <v>161</v>
      </c>
      <c r="C98" s="1">
        <f>IF(AND('Ввод данных'!E3=2.5,'Ввод данных'!G4=0.174),C97*'Ввод данных'!D35,IF(AND('Ввод данных'!E3=2.5,'Ввод данных'!G4=0.224),C97*'Ввод данных'!D37))</f>
        <v>112608</v>
      </c>
    </row>
    <row r="99">
      <c r="B99" s="1" t="s">
        <v>162</v>
      </c>
      <c r="C99" s="1" t="b">
        <f>IF(AND('Ввод данных'!E3=2.8,'Ввод данных'!G4=0.174),C97*'Ввод данных'!D36,IF(AND('Ввод данных'!E3=2.8,'Ввод данных'!G4=0.224),C97*'Ввод данных'!D38))</f>
        <v>0</v>
      </c>
    </row>
    <row r="100">
      <c r="B100" s="1"/>
    </row>
    <row r="101">
      <c r="B101" s="1" t="s">
        <v>157</v>
      </c>
      <c r="C101" s="1">
        <f>C97*('Ввод данных'!E3+'Ввод данных'!B19)*2</f>
        <v>204</v>
      </c>
    </row>
    <row r="102">
      <c r="B102" s="1" t="s">
        <v>76</v>
      </c>
      <c r="C102" s="1">
        <f>C101*'Ввод данных'!B24*('Ввод данных'!G4-0.024)</f>
        <v>1.224</v>
      </c>
    </row>
    <row r="103">
      <c r="B103" s="1" t="s">
        <v>136</v>
      </c>
      <c r="C103" s="36">
        <v>0.10000000000000001</v>
      </c>
    </row>
    <row r="104">
      <c r="B104" s="32" t="s">
        <v>159</v>
      </c>
      <c r="C104" s="37">
        <f>C102+C102*C103</f>
        <v>1.3464</v>
      </c>
    </row>
    <row r="105">
      <c r="B105" s="1" t="s">
        <v>163</v>
      </c>
      <c r="C105" s="16">
        <f>C104*'Ввод данных'!D42</f>
        <v>33289.739999999998</v>
      </c>
      <c r="D105" s="16">
        <f>C104*'Ввод данных'!B42</f>
        <v>28947.600000000002</v>
      </c>
    </row>
    <row r="106">
      <c r="B106" s="34" t="s">
        <v>164</v>
      </c>
      <c r="C106" s="35">
        <f>if( C98=false,0,C105+C98)</f>
        <v>145897.73999999999</v>
      </c>
      <c r="D106" s="16"/>
    </row>
    <row r="107">
      <c r="B107" s="34" t="s">
        <v>165</v>
      </c>
      <c r="C107" s="35">
        <f>if( C99=false,0,C105+C99)</f>
        <v>0</v>
      </c>
      <c r="D107" s="16"/>
    </row>
    <row r="109">
      <c r="A109" s="1">
        <v>8</v>
      </c>
      <c r="B109" s="31" t="s">
        <v>22</v>
      </c>
    </row>
    <row r="110">
      <c r="B110" s="1" t="s">
        <v>156</v>
      </c>
      <c r="C110" s="1">
        <f>'Ввод данных'!B3*'Ввод данных'!C3/'Ввод данных'!D20</f>
        <v>22.399999999999999</v>
      </c>
    </row>
    <row r="111">
      <c r="B111" s="1" t="s">
        <v>136</v>
      </c>
      <c r="C111" s="36">
        <v>0.10000000000000001</v>
      </c>
    </row>
    <row r="112">
      <c r="B112" s="32" t="s">
        <v>78</v>
      </c>
      <c r="C112" s="32">
        <f>C110+C110*C111</f>
        <v>24.639999999999997</v>
      </c>
    </row>
    <row r="113">
      <c r="B113" s="1" t="s">
        <v>166</v>
      </c>
      <c r="C113" s="16">
        <f>if('Ввод данных'!G5=0.224,C112*'Ввод данных'!D37,C112*'Ввод данных'!D35)</f>
        <v>102009.59999999999</v>
      </c>
    </row>
    <row r="114">
      <c r="B114" s="1"/>
    </row>
    <row r="115">
      <c r="B115" s="1" t="s">
        <v>157</v>
      </c>
      <c r="C115" s="1">
        <f>C112*('Ввод данных'!B20+'Ввод данных'!B19/2)*2</f>
        <v>153.99999999999997</v>
      </c>
    </row>
    <row r="116">
      <c r="B116" s="1" t="s">
        <v>158</v>
      </c>
      <c r="C116" s="20">
        <f>C115*'Ввод данных'!B24*('Ввод данных'!G5-0.024)</f>
        <v>0.92399999999999982</v>
      </c>
    </row>
    <row r="117">
      <c r="B117" s="1" t="s">
        <v>136</v>
      </c>
      <c r="C117" s="36">
        <v>0.14999999999999999</v>
      </c>
    </row>
    <row r="118">
      <c r="B118" s="32" t="s">
        <v>159</v>
      </c>
      <c r="C118" s="37">
        <f>C116+C116*C117</f>
        <v>1.0625999999999998</v>
      </c>
    </row>
    <row r="119">
      <c r="B119" s="1" t="s">
        <v>167</v>
      </c>
      <c r="C119" s="16">
        <f>C118*'Ввод данных'!D42</f>
        <v>26272.784999999993</v>
      </c>
      <c r="D119" s="16">
        <f>C118*'Ввод данных'!B42</f>
        <v>22845.899999999994</v>
      </c>
    </row>
    <row r="120">
      <c r="B120" s="34" t="s">
        <v>168</v>
      </c>
      <c r="C120" s="35">
        <f>C113+C119</f>
        <v>128282.38499999998</v>
      </c>
      <c r="D120" s="16"/>
    </row>
    <row r="122">
      <c r="A122" s="1">
        <v>9</v>
      </c>
      <c r="B122" s="31" t="s">
        <v>9</v>
      </c>
    </row>
    <row r="123">
      <c r="B123" s="1" t="s">
        <v>169</v>
      </c>
    </row>
    <row r="124">
      <c r="B124" s="1" t="s">
        <v>170</v>
      </c>
      <c r="C124" s="1">
        <f>('Ввод данных'!B3+'Ввод данных'!C3)*2*'Ввод данных'!B14*'Ввод данных'!C14</f>
        <v>0.255</v>
      </c>
    </row>
    <row r="125">
      <c r="B125" s="1" t="s">
        <v>171</v>
      </c>
      <c r="C125" s="1">
        <f>'Ввод данных'!B3*2*'Ввод данных'!B14*'Ввод данных'!C14*2</f>
        <v>0.30000000000000004</v>
      </c>
    </row>
    <row r="126">
      <c r="B126" s="1" t="s">
        <v>172</v>
      </c>
      <c r="C126" s="1">
        <f>'Ввод данных'!C3/2*TAN(RADIANS('Ввод данных'!K3))</f>
        <v>2.0207259421636898</v>
      </c>
    </row>
    <row r="127">
      <c r="B127" s="1" t="s">
        <v>173</v>
      </c>
      <c r="C127" s="1">
        <f>('Ввод данных'!B3/'Ввод данных'!K5+1)*2*C126/2*'Ввод данных'!B15*'Ввод данных'!C15</f>
        <v>0.26774618733668892</v>
      </c>
    </row>
    <row r="129">
      <c r="B129" s="1" t="s">
        <v>174</v>
      </c>
    </row>
    <row r="130">
      <c r="B130" s="1" t="s">
        <v>175</v>
      </c>
      <c r="D130" s="1" t="s">
        <v>176</v>
      </c>
    </row>
    <row r="131">
      <c r="B131" s="1" t="s">
        <v>177</v>
      </c>
      <c r="C131" s="20">
        <f>'Ввод данных'!C3/2/COS(RADIANS('Ввод данных'!K3))+'Ввод данных'!K4</f>
        <v>4.5414518843273797</v>
      </c>
      <c r="D131" s="1">
        <f>'Ввод данных'!C3/2/COS(RADIANS('Ввод данных'!K3))</f>
        <v>4.0414518843273797</v>
      </c>
    </row>
    <row r="132">
      <c r="B132" s="1" t="s">
        <v>178</v>
      </c>
      <c r="C132" s="39">
        <f>'Ввод данных'!B3*3*'Ввод данных'!B15*'Ввод данных'!C15</f>
        <v>0.22500000000000001</v>
      </c>
    </row>
    <row r="133">
      <c r="B133" s="1" t="s">
        <v>179</v>
      </c>
      <c r="C133" s="20">
        <f>('Ввод данных'!B3*2+C131*2)*'Ввод данных'!B15*'Ввод данных'!C15</f>
        <v>0.21812177826491072</v>
      </c>
    </row>
    <row r="134">
      <c r="B134" s="1" t="s">
        <v>180</v>
      </c>
      <c r="C134" s="20">
        <f>'Ввод данных'!B3*2*'Ввод данных'!B15*'Ввод данных'!C15</f>
        <v>0.15000000000000002</v>
      </c>
    </row>
    <row r="135">
      <c r="B135" s="1" t="s">
        <v>181</v>
      </c>
      <c r="C135" s="20">
        <f>('Ввод данных'!B3/'Ввод данных'!K5+1)*2*C131*'Ввод данных'!B15*'Ввод данных'!C15+C132+C133+C134</f>
        <v>1.7966065276116665</v>
      </c>
    </row>
    <row r="136">
      <c r="B136" s="1" t="s">
        <v>182</v>
      </c>
      <c r="C136" s="42">
        <v>0.29999999999999999</v>
      </c>
    </row>
    <row r="137">
      <c r="B137" s="1" t="s">
        <v>183</v>
      </c>
      <c r="C137" s="20">
        <f>C135+C135*C136</f>
        <v>2.3355884858951663</v>
      </c>
    </row>
    <row r="139">
      <c r="B139" s="1" t="s">
        <v>184</v>
      </c>
    </row>
    <row r="140">
      <c r="B140" s="1" t="s">
        <v>185</v>
      </c>
      <c r="C140" s="19">
        <f>(C131/'Ввод данных'!K6+2)*2*'Ввод данных'!C3*'Ввод данных'!B16*'Ввод данных'!C16</f>
        <v>0.78621778264910702</v>
      </c>
    </row>
    <row r="142">
      <c r="B142" s="1" t="s">
        <v>186</v>
      </c>
    </row>
    <row r="143">
      <c r="B143" s="1" t="s">
        <v>187</v>
      </c>
      <c r="C143" s="19">
        <f>('Ввод данных'!B3/'Ввод данных'!K5+1)*2*C131*'Ввод данных'!B17*'Ввод данных'!C17</f>
        <v>0.40116158311558525</v>
      </c>
    </row>
    <row r="144">
      <c r="B144" s="1"/>
    </row>
    <row r="145">
      <c r="B145" s="1" t="s">
        <v>188</v>
      </c>
      <c r="C145" s="1">
        <f>('Ввод данных'!C3*2+C131*2)*1.5*'Ввод данных'!B15*'Ввод данных'!C15</f>
        <v>0.25968266739736606</v>
      </c>
    </row>
    <row r="146">
      <c r="B146" s="1"/>
    </row>
    <row r="147">
      <c r="B147" s="1" t="s">
        <v>182</v>
      </c>
      <c r="C147" s="42">
        <v>0.10000000000000001</v>
      </c>
    </row>
    <row r="148">
      <c r="B148" s="1" t="s">
        <v>189</v>
      </c>
      <c r="C148" s="1">
        <f>(C124+C125+C127+C137+C140+C143+C145)*C147</f>
        <v>0.46053967063939139</v>
      </c>
    </row>
    <row r="149">
      <c r="B149" s="1"/>
    </row>
    <row r="150">
      <c r="B150" s="1"/>
    </row>
    <row r="151">
      <c r="B151" s="32" t="s">
        <v>190</v>
      </c>
      <c r="C151" s="37">
        <f>C124+C125+C127+C137+C140+C143+C145+C148</f>
        <v>5.0659363770333048</v>
      </c>
    </row>
    <row r="152">
      <c r="B152" s="1" t="s">
        <v>102</v>
      </c>
      <c r="C152" s="16">
        <f>C151*'Ввод данных'!D42</f>
        <v>125255.27692214846</v>
      </c>
      <c r="D152" s="16">
        <f>C151*'Ввод данных'!B42</f>
        <v>108917.63210621606</v>
      </c>
    </row>
    <row r="154">
      <c r="B154" s="32" t="s">
        <v>191</v>
      </c>
      <c r="C154" s="32">
        <f>('Ввод данных'!B3+'Ввод данных'!K4)*C131*2</f>
        <v>95.37048957087498</v>
      </c>
    </row>
    <row r="155">
      <c r="B155" s="1" t="s">
        <v>103</v>
      </c>
      <c r="C155" s="16">
        <f>C154*'Ввод данных'!D46</f>
        <v>197416.9134117112</v>
      </c>
      <c r="D155" s="16"/>
    </row>
    <row r="156">
      <c r="B156" s="1"/>
    </row>
    <row r="157">
      <c r="B157" s="34" t="s">
        <v>192</v>
      </c>
      <c r="C157" s="35">
        <f>C152+C155</f>
        <v>322672.19033385965</v>
      </c>
      <c r="D157" s="16"/>
    </row>
    <row r="159">
      <c r="A159" s="1">
        <v>10</v>
      </c>
      <c r="B159" s="31" t="s">
        <v>193</v>
      </c>
    </row>
    <row r="160">
      <c r="B160" s="34" t="s">
        <v>104</v>
      </c>
      <c r="C160" s="35">
        <f>'Ввод данных'!B3*'Ввод данных'!C3*'Ввод данных'!D44</f>
        <v>92400</v>
      </c>
      <c r="D160" s="16"/>
    </row>
    <row r="162">
      <c r="A162" s="1">
        <v>11</v>
      </c>
      <c r="B162" s="31" t="s">
        <v>194</v>
      </c>
    </row>
    <row r="163">
      <c r="B163" s="34" t="s">
        <v>106</v>
      </c>
      <c r="C163" s="35">
        <f>'Ввод данных'!B3*'Ввод данных'!C3*'Ввод данных'!D48</f>
        <v>252000</v>
      </c>
      <c r="D163" s="16"/>
    </row>
    <row r="165">
      <c r="A165" s="1">
        <v>12</v>
      </c>
      <c r="B165" s="31" t="s">
        <v>195</v>
      </c>
    </row>
    <row r="166">
      <c r="A166" s="1"/>
      <c r="B166" s="1" t="s">
        <v>196</v>
      </c>
      <c r="C166" s="1">
        <f>('Ввод данных'!B3+'Ввод данных'!C3)*2</f>
        <v>34</v>
      </c>
    </row>
    <row r="167">
      <c r="A167" s="1"/>
      <c r="B167" s="1" t="s">
        <v>197</v>
      </c>
      <c r="C167" s="19">
        <f>((C166/0.6+1)*'Ввод данных'!E3+(C166/0.6)*4*0.6)*'Ввод данных'!B18*'Ввод данных'!C18</f>
        <v>1.4008333333333336</v>
      </c>
    </row>
    <row r="168">
      <c r="A168" s="1"/>
      <c r="B168" s="34" t="s">
        <v>105</v>
      </c>
      <c r="C168" s="35">
        <f>C167*'Ввод данных'!D42</f>
        <v>34635.604166666672</v>
      </c>
      <c r="D168" s="16"/>
    </row>
    <row r="169">
      <c r="A169" s="1"/>
      <c r="B169" s="1"/>
    </row>
    <row r="170">
      <c r="A170" s="1">
        <v>13</v>
      </c>
      <c r="B170" s="34" t="s">
        <v>107</v>
      </c>
      <c r="C170" s="35">
        <f>C174*0.1*'Ввод данных'!D36</f>
        <v>33296.639999999999</v>
      </c>
      <c r="D170" s="16"/>
    </row>
    <row r="171">
      <c r="A171" s="1"/>
      <c r="B171" s="1"/>
    </row>
    <row r="172">
      <c r="A172" s="1">
        <v>11</v>
      </c>
      <c r="B172" s="34" t="s">
        <v>198</v>
      </c>
      <c r="C172" s="35">
        <f>'Ввод данных'!D40+'Ввод данных'!D50</f>
        <v>80000</v>
      </c>
      <c r="D172" s="16"/>
    </row>
    <row r="174">
      <c r="B174" s="1" t="s">
        <v>199</v>
      </c>
      <c r="C174" s="15">
        <f>C86+C97+C110</f>
        <v>74.239999999999995</v>
      </c>
    </row>
    <row r="176">
      <c r="B176" s="1" t="s">
        <v>83</v>
      </c>
      <c r="C176" s="20">
        <f>C151+C118+C104+C92+C50+C34+C167+C72+C69+C53</f>
        <v>16.463644710366637</v>
      </c>
    </row>
    <row r="177">
      <c r="B177" s="1" t="s">
        <v>200</v>
      </c>
      <c r="C177" s="16">
        <f>C176*'Ввод данных'!D42</f>
        <v>407063.61546381511</v>
      </c>
    </row>
    <row r="179">
      <c r="B179" s="34" t="s">
        <v>201</v>
      </c>
      <c r="C179" s="35">
        <f>'Ввод данных'!I5*'Ввод данных'!D61+'Ввод данных'!I5*'Ввод данных'!D62</f>
        <v>54000</v>
      </c>
    </row>
    <row r="180">
      <c r="B180" s="1"/>
      <c r="C180" s="16"/>
    </row>
    <row r="181">
      <c r="B181" s="34" t="s">
        <v>202</v>
      </c>
      <c r="C181" s="35">
        <f>'Ввод данных'!I3*'Ввод данных'!D52+'Ввод данных'!I3*'Ввод данных'!D53</f>
        <v>63000</v>
      </c>
    </row>
    <row r="183">
      <c r="B183" s="34" t="s">
        <v>203</v>
      </c>
      <c r="C183" s="35">
        <f>'Ввод данных'!I4*'Ввод данных'!D55+'Ввод данных'!I4*'Ввод данных'!D56</f>
        <v>42000</v>
      </c>
    </row>
    <row r="185">
      <c r="B185" s="1" t="s">
        <v>204</v>
      </c>
      <c r="C185" s="20">
        <f>(TAN(RADIANS('Ввод данных'!K3))*'Ввод данных'!B3/2)*('Ввод данных'!B3/2)*2</f>
        <v>28.867513459481287</v>
      </c>
    </row>
    <row r="186">
      <c r="B186" s="34" t="s">
        <v>205</v>
      </c>
      <c r="C186" s="35">
        <f>C185/'Ввод данных'!D20*'Ввод данных'!D58</f>
        <v>6373.9469718534683</v>
      </c>
    </row>
    <row r="188">
      <c r="B188" s="34" t="s">
        <v>206</v>
      </c>
      <c r="C188" s="35">
        <f>C19+C35+C62+C81+C94+C107+C120+C157+C160+C163+C172+C170+C181+C183+C168+C186</f>
        <v>1569506.0258473798</v>
      </c>
      <c r="D188" s="1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2" max="2" width="52.25"/>
  </cols>
  <sheetData>
    <row r="1">
      <c r="A1" s="43">
        <v>95</v>
      </c>
      <c r="B1" s="44" t="s">
        <v>207</v>
      </c>
    </row>
    <row r="2">
      <c r="A2" s="43">
        <v>96</v>
      </c>
      <c r="B2" s="44" t="s">
        <v>208</v>
      </c>
    </row>
    <row r="3">
      <c r="A3" s="43">
        <v>97</v>
      </c>
      <c r="B3" s="44" t="s">
        <v>209</v>
      </c>
    </row>
    <row r="4">
      <c r="A4" s="43">
        <v>99</v>
      </c>
      <c r="B4" s="44" t="s">
        <v>210</v>
      </c>
    </row>
    <row r="5">
      <c r="A5" s="43">
        <v>100</v>
      </c>
      <c r="B5" s="44" t="s">
        <v>211</v>
      </c>
    </row>
    <row r="6">
      <c r="A6" s="43">
        <v>104</v>
      </c>
      <c r="B6" s="44" t="s">
        <v>212</v>
      </c>
    </row>
    <row r="7" ht="28.5">
      <c r="A7" s="43">
        <v>107</v>
      </c>
      <c r="B7" s="44" t="s">
        <v>213</v>
      </c>
    </row>
    <row r="8">
      <c r="A8" s="43">
        <v>112</v>
      </c>
      <c r="B8" s="45" t="s">
        <v>214</v>
      </c>
    </row>
    <row r="9">
      <c r="A9" s="43">
        <v>113</v>
      </c>
      <c r="B9" s="44" t="s">
        <v>215</v>
      </c>
    </row>
    <row r="10">
      <c r="A10" s="43">
        <v>114</v>
      </c>
      <c r="B10" s="44" t="s">
        <v>216</v>
      </c>
    </row>
    <row r="11" ht="28.5">
      <c r="A11" s="43">
        <v>115</v>
      </c>
      <c r="B11" s="44" t="s">
        <v>213</v>
      </c>
    </row>
    <row r="29">
      <c r="A29" s="43">
        <v>153</v>
      </c>
      <c r="B29" s="45" t="s">
        <v>217</v>
      </c>
    </row>
    <row r="30" ht="28.5">
      <c r="A30" s="43">
        <v>154</v>
      </c>
      <c r="B30" s="44" t="s">
        <v>218</v>
      </c>
    </row>
    <row r="31">
      <c r="A31" s="43">
        <v>155</v>
      </c>
      <c r="B31" s="44" t="s">
        <v>219</v>
      </c>
    </row>
    <row r="32">
      <c r="A32" s="43">
        <v>156</v>
      </c>
      <c r="B32" s="44" t="s">
        <v>220</v>
      </c>
    </row>
    <row r="33" ht="28.5">
      <c r="A33" s="43">
        <v>157</v>
      </c>
      <c r="B33" s="44" t="s">
        <v>221</v>
      </c>
    </row>
    <row r="34">
      <c r="A34" s="43">
        <v>158</v>
      </c>
      <c r="B34" s="45" t="s">
        <v>222</v>
      </c>
    </row>
    <row r="35">
      <c r="A35" s="43">
        <v>159</v>
      </c>
      <c r="B35" s="46" t="s">
        <v>223</v>
      </c>
    </row>
    <row r="36">
      <c r="A36" s="43">
        <v>160</v>
      </c>
      <c r="B36" s="46" t="s">
        <v>224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58.880000000000003"/>
  </cols>
  <sheetData>
    <row r="1">
      <c r="A1" s="44"/>
      <c r="B1" s="1" t="s">
        <v>225</v>
      </c>
      <c r="C1" s="1" t="s">
        <v>226</v>
      </c>
      <c r="D1" s="1" t="s">
        <v>227</v>
      </c>
    </row>
    <row r="2">
      <c r="A2" s="45" t="s">
        <v>228</v>
      </c>
      <c r="B2" s="1"/>
      <c r="D2" s="15"/>
    </row>
    <row r="3">
      <c r="A3" s="44" t="s">
        <v>229</v>
      </c>
      <c r="B3" s="1">
        <v>130</v>
      </c>
      <c r="C3" s="1">
        <f>F8*2+F6*4+H4+H5+H6</f>
        <v>69.529200000000003</v>
      </c>
      <c r="D3" s="15">
        <f t="shared" ref="D3:D15" si="10">C3*B3</f>
        <v>9038.7960000000003</v>
      </c>
    </row>
    <row r="4">
      <c r="A4" s="1" t="s">
        <v>230</v>
      </c>
      <c r="B4" s="1">
        <v>307</v>
      </c>
      <c r="C4" s="1">
        <f>F7</f>
        <v>6.1425000000000001</v>
      </c>
      <c r="D4" s="15">
        <f t="shared" si="10"/>
        <v>1885.7474999999999</v>
      </c>
      <c r="E4" s="1" t="s">
        <v>231</v>
      </c>
      <c r="F4" s="1">
        <v>3.25</v>
      </c>
      <c r="G4" s="1" t="s">
        <v>232</v>
      </c>
      <c r="H4" s="1">
        <f>F4/0.625*F5</f>
        <v>9.8279999999999994</v>
      </c>
      <c r="I4" s="1">
        <f>1250/2</f>
        <v>625</v>
      </c>
    </row>
    <row r="5">
      <c r="A5" s="1" t="s">
        <v>233</v>
      </c>
      <c r="B5" s="1">
        <v>440</v>
      </c>
      <c r="C5" s="1">
        <f>F7</f>
        <v>6.1425000000000001</v>
      </c>
      <c r="D5" s="15">
        <f t="shared" si="10"/>
        <v>2702.6999999999998</v>
      </c>
      <c r="E5" s="1" t="s">
        <v>234</v>
      </c>
      <c r="F5" s="1">
        <v>1.8899999999999999</v>
      </c>
      <c r="G5" s="1" t="s">
        <v>235</v>
      </c>
      <c r="H5" s="1">
        <f>F4/1.25*F5</f>
        <v>4.9139999999999997</v>
      </c>
    </row>
    <row r="6">
      <c r="A6" s="1" t="s">
        <v>236</v>
      </c>
      <c r="B6" s="1">
        <v>77</v>
      </c>
      <c r="C6" s="1">
        <f>F7</f>
        <v>6.1425000000000001</v>
      </c>
      <c r="D6" s="15">
        <f t="shared" si="10"/>
        <v>472.97250000000003</v>
      </c>
      <c r="E6" s="1" t="s">
        <v>237</v>
      </c>
      <c r="F6" s="1">
        <v>2.7999999999999998</v>
      </c>
      <c r="G6" s="1" t="s">
        <v>238</v>
      </c>
      <c r="H6" s="1">
        <f>F8/1.25*F6</f>
        <v>23.027200000000001</v>
      </c>
    </row>
    <row r="7">
      <c r="A7" s="1" t="s">
        <v>239</v>
      </c>
      <c r="B7" s="1">
        <v>980</v>
      </c>
      <c r="C7" s="1">
        <f>F7</f>
        <v>6.1425000000000001</v>
      </c>
      <c r="D7" s="15">
        <f t="shared" si="10"/>
        <v>6019.6499999999996</v>
      </c>
      <c r="E7" s="1" t="s">
        <v>240</v>
      </c>
      <c r="F7" s="1">
        <f>F4*F5</f>
        <v>6.1425000000000001</v>
      </c>
    </row>
    <row r="8">
      <c r="A8" s="1" t="s">
        <v>241</v>
      </c>
      <c r="B8" s="1">
        <v>1600</v>
      </c>
      <c r="C8" s="1">
        <f>F7</f>
        <v>6.1425000000000001</v>
      </c>
      <c r="D8" s="15">
        <f t="shared" si="10"/>
        <v>9828</v>
      </c>
      <c r="E8" s="1" t="s">
        <v>242</v>
      </c>
      <c r="F8" s="1">
        <f>F4*2+F5*2</f>
        <v>10.279999999999999</v>
      </c>
    </row>
    <row r="9">
      <c r="A9" s="1" t="s">
        <v>243</v>
      </c>
      <c r="B9" s="1">
        <v>200</v>
      </c>
      <c r="C9" s="1">
        <f t="shared" ref="C9:C12" si="11">F7</f>
        <v>6.1425000000000001</v>
      </c>
      <c r="D9" s="15">
        <f t="shared" si="10"/>
        <v>1228.5</v>
      </c>
      <c r="E9" s="1" t="s">
        <v>244</v>
      </c>
      <c r="F9" s="1">
        <v>4</v>
      </c>
    </row>
    <row r="10">
      <c r="A10" s="44" t="s">
        <v>245</v>
      </c>
      <c r="B10" s="1">
        <v>280</v>
      </c>
      <c r="C10" s="1">
        <f t="shared" si="11"/>
        <v>10.279999999999999</v>
      </c>
      <c r="D10" s="15">
        <f t="shared" si="10"/>
        <v>2878.4000000000001</v>
      </c>
      <c r="E10" s="1" t="s">
        <v>246</v>
      </c>
      <c r="F10" s="1">
        <f>F8*F6</f>
        <v>28.783999999999999</v>
      </c>
    </row>
    <row r="11">
      <c r="A11" s="44" t="s">
        <v>247</v>
      </c>
      <c r="B11" s="1">
        <v>105</v>
      </c>
      <c r="C11" s="1">
        <f t="shared" si="11"/>
        <v>4</v>
      </c>
      <c r="D11" s="15">
        <f t="shared" si="10"/>
        <v>420</v>
      </c>
    </row>
    <row r="12">
      <c r="A12" s="44" t="s">
        <v>248</v>
      </c>
      <c r="B12" s="1">
        <v>65</v>
      </c>
      <c r="C12" s="1">
        <f t="shared" si="11"/>
        <v>28.783999999999999</v>
      </c>
      <c r="D12" s="15">
        <f t="shared" si="10"/>
        <v>1870.96</v>
      </c>
    </row>
    <row r="13">
      <c r="A13" s="44" t="s">
        <v>249</v>
      </c>
      <c r="B13" s="1">
        <f>360*2</f>
        <v>720</v>
      </c>
      <c r="C13" s="1">
        <f>F10</f>
        <v>28.783999999999999</v>
      </c>
      <c r="D13" s="15">
        <f t="shared" si="10"/>
        <v>20724.48</v>
      </c>
    </row>
    <row r="14">
      <c r="A14" s="44" t="s">
        <v>250</v>
      </c>
      <c r="B14" s="1">
        <v>77</v>
      </c>
      <c r="C14" s="1">
        <f>F7</f>
        <v>6.1425000000000001</v>
      </c>
      <c r="D14" s="15">
        <f t="shared" si="10"/>
        <v>472.97250000000003</v>
      </c>
    </row>
    <row r="15">
      <c r="A15" s="44" t="s">
        <v>251</v>
      </c>
      <c r="B15" s="1">
        <f>390*2</f>
        <v>780</v>
      </c>
      <c r="C15" s="1">
        <f>F7</f>
        <v>6.1425000000000001</v>
      </c>
      <c r="D15" s="15">
        <f t="shared" si="10"/>
        <v>4791.1499999999996</v>
      </c>
    </row>
    <row r="16">
      <c r="A16" s="1" t="s">
        <v>78</v>
      </c>
      <c r="D16" s="15">
        <f>SUM(D3:D15)</f>
        <v>62334.328500000003</v>
      </c>
    </row>
    <row r="22">
      <c r="A22" s="44"/>
    </row>
    <row r="23">
      <c r="A23" s="44"/>
    </row>
    <row r="24">
      <c r="A24" s="44"/>
    </row>
    <row r="25">
      <c r="A25" s="44"/>
    </row>
    <row r="26">
      <c r="A26" s="44"/>
    </row>
    <row r="27">
      <c r="A27" s="44"/>
    </row>
    <row r="28">
      <c r="A28" s="44"/>
    </row>
    <row r="29">
      <c r="A29" s="44"/>
    </row>
    <row r="30">
      <c r="A30" s="44"/>
    </row>
    <row r="31" ht="57">
      <c r="A31" s="44" t="s">
        <v>252</v>
      </c>
    </row>
    <row r="37">
      <c r="A37" s="44" t="s">
        <v>253</v>
      </c>
    </row>
    <row r="38">
      <c r="A38" s="44" t="s">
        <v>254</v>
      </c>
    </row>
    <row r="39">
      <c r="A39" s="44" t="s">
        <v>255</v>
      </c>
    </row>
    <row r="40">
      <c r="A40" s="44" t="s">
        <v>256</v>
      </c>
    </row>
    <row r="41">
      <c r="A41" s="44" t="s">
        <v>257</v>
      </c>
    </row>
    <row r="42">
      <c r="A42" s="44" t="s">
        <v>258</v>
      </c>
    </row>
    <row r="43" ht="28.5">
      <c r="A43" s="44" t="s">
        <v>213</v>
      </c>
    </row>
    <row r="44">
      <c r="A44" s="44" t="s">
        <v>259</v>
      </c>
    </row>
    <row r="45">
      <c r="A45" s="44" t="s">
        <v>220</v>
      </c>
    </row>
    <row r="46">
      <c r="A46" s="44" t="s">
        <v>260</v>
      </c>
    </row>
    <row r="47" ht="28.5">
      <c r="A47" s="44" t="s">
        <v>261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58.880000000000003"/>
  </cols>
  <sheetData>
    <row r="1">
      <c r="A1" s="44"/>
      <c r="B1" s="1" t="s">
        <v>225</v>
      </c>
      <c r="C1" s="1" t="s">
        <v>226</v>
      </c>
      <c r="D1" s="1" t="s">
        <v>227</v>
      </c>
    </row>
    <row r="2">
      <c r="A2" s="45" t="s">
        <v>262</v>
      </c>
      <c r="B2" s="1"/>
      <c r="D2" s="15"/>
    </row>
    <row r="3">
      <c r="A3" s="44" t="s">
        <v>229</v>
      </c>
      <c r="B3" s="1">
        <v>130</v>
      </c>
      <c r="C3" s="1">
        <f>F8*2+F6*4+H4+H5+H6</f>
        <v>64.769919999999999</v>
      </c>
      <c r="D3" s="15">
        <f t="shared" ref="D3:D23" si="12">C3*B3</f>
        <v>8420.0895999999993</v>
      </c>
    </row>
    <row r="4">
      <c r="A4" s="1" t="s">
        <v>230</v>
      </c>
      <c r="B4" s="1">
        <v>307</v>
      </c>
      <c r="C4" s="1">
        <f>F7</f>
        <v>5.5728</v>
      </c>
      <c r="D4" s="15">
        <f t="shared" si="12"/>
        <v>1710.8496</v>
      </c>
      <c r="E4" s="1" t="s">
        <v>231</v>
      </c>
      <c r="F4" s="1">
        <v>2.5800000000000001</v>
      </c>
      <c r="G4" s="1" t="s">
        <v>232</v>
      </c>
      <c r="H4" s="1">
        <f>F4/0.625*F5</f>
        <v>8.91648</v>
      </c>
      <c r="I4" s="1">
        <f>1250/2</f>
        <v>625</v>
      </c>
    </row>
    <row r="5">
      <c r="A5" s="1" t="s">
        <v>233</v>
      </c>
      <c r="B5" s="1">
        <v>440</v>
      </c>
      <c r="C5" s="1">
        <f>F7</f>
        <v>5.5728</v>
      </c>
      <c r="D5" s="15">
        <f t="shared" si="12"/>
        <v>2452.0320000000002</v>
      </c>
      <c r="E5" s="1" t="s">
        <v>234</v>
      </c>
      <c r="F5" s="1">
        <v>2.1600000000000001</v>
      </c>
      <c r="G5" s="1" t="s">
        <v>235</v>
      </c>
      <c r="H5" s="1">
        <f>F4/1.25*F5</f>
        <v>4.45824</v>
      </c>
    </row>
    <row r="6">
      <c r="A6" s="1" t="s">
        <v>236</v>
      </c>
      <c r="B6" s="1">
        <v>77</v>
      </c>
      <c r="C6" s="1">
        <f>F7</f>
        <v>5.5728</v>
      </c>
      <c r="D6" s="15">
        <f t="shared" si="12"/>
        <v>429.10559999999998</v>
      </c>
      <c r="E6" s="1" t="s">
        <v>237</v>
      </c>
      <c r="F6" s="1">
        <v>2.7999999999999998</v>
      </c>
      <c r="G6" s="1" t="s">
        <v>238</v>
      </c>
      <c r="H6" s="1">
        <f>F8/1.25*F6</f>
        <v>21.235199999999999</v>
      </c>
    </row>
    <row r="7">
      <c r="A7" s="1" t="s">
        <v>239</v>
      </c>
      <c r="B7" s="1">
        <v>980</v>
      </c>
      <c r="C7" s="1">
        <f>F7</f>
        <v>5.5728</v>
      </c>
      <c r="D7" s="15">
        <f t="shared" si="12"/>
        <v>5461.3440000000001</v>
      </c>
      <c r="E7" s="1" t="s">
        <v>263</v>
      </c>
      <c r="F7" s="1">
        <f>F4*F5</f>
        <v>5.5728</v>
      </c>
    </row>
    <row r="8">
      <c r="A8" s="1" t="s">
        <v>241</v>
      </c>
      <c r="B8" s="1">
        <v>1600</v>
      </c>
      <c r="C8" s="1">
        <f>F7</f>
        <v>5.5728</v>
      </c>
      <c r="D8" s="15">
        <f t="shared" si="12"/>
        <v>8916.4799999999996</v>
      </c>
      <c r="E8" s="1" t="s">
        <v>242</v>
      </c>
      <c r="F8" s="1">
        <f>F4*2+F5*2</f>
        <v>9.4800000000000004</v>
      </c>
    </row>
    <row r="9">
      <c r="A9" s="1" t="s">
        <v>243</v>
      </c>
      <c r="B9" s="1">
        <v>200</v>
      </c>
      <c r="C9" s="1">
        <f>F7</f>
        <v>5.5728</v>
      </c>
      <c r="D9" s="15">
        <f t="shared" si="12"/>
        <v>1114.5599999999999</v>
      </c>
      <c r="E9" s="1" t="s">
        <v>244</v>
      </c>
      <c r="F9" s="1">
        <v>4</v>
      </c>
    </row>
    <row r="10">
      <c r="A10" s="44" t="s">
        <v>264</v>
      </c>
      <c r="B10" s="1">
        <v>1045</v>
      </c>
      <c r="C10" s="1">
        <f>F7</f>
        <v>5.5728</v>
      </c>
      <c r="D10" s="15">
        <f t="shared" si="12"/>
        <v>5823.576</v>
      </c>
      <c r="E10" s="1" t="s">
        <v>246</v>
      </c>
      <c r="F10" s="1">
        <f>F8*F6</f>
        <v>26.544</v>
      </c>
    </row>
    <row r="11">
      <c r="A11" s="44" t="s">
        <v>265</v>
      </c>
      <c r="B11" s="1">
        <v>1160</v>
      </c>
      <c r="C11" s="1">
        <v>1</v>
      </c>
      <c r="D11" s="15">
        <f t="shared" si="12"/>
        <v>1160</v>
      </c>
    </row>
    <row r="12">
      <c r="A12" s="44" t="s">
        <v>266</v>
      </c>
      <c r="B12" s="1">
        <v>372</v>
      </c>
      <c r="C12" s="1">
        <f>F7</f>
        <v>5.5728</v>
      </c>
      <c r="D12" s="15">
        <f t="shared" si="12"/>
        <v>2073.0816</v>
      </c>
    </row>
    <row r="13">
      <c r="A13" s="44" t="s">
        <v>267</v>
      </c>
      <c r="B13" s="1">
        <v>116</v>
      </c>
      <c r="C13" s="1">
        <f>F7+F10</f>
        <v>32.116799999999998</v>
      </c>
      <c r="D13" s="15">
        <f t="shared" si="12"/>
        <v>3725.5488</v>
      </c>
    </row>
    <row r="14">
      <c r="A14" s="44" t="s">
        <v>268</v>
      </c>
      <c r="B14" s="1">
        <v>737</v>
      </c>
      <c r="C14" s="1">
        <f>F10</f>
        <v>26.544</v>
      </c>
      <c r="D14" s="15">
        <f t="shared" si="12"/>
        <v>19562.928</v>
      </c>
    </row>
    <row r="15">
      <c r="A15" s="1" t="s">
        <v>269</v>
      </c>
      <c r="B15" s="1">
        <v>400</v>
      </c>
      <c r="C15" s="1">
        <f>F10</f>
        <v>26.544</v>
      </c>
      <c r="D15" s="15">
        <f t="shared" si="12"/>
        <v>10617.6</v>
      </c>
    </row>
    <row r="16">
      <c r="A16" s="44" t="s">
        <v>270</v>
      </c>
      <c r="B16" s="1">
        <v>1700</v>
      </c>
      <c r="C16" s="1">
        <f>F10</f>
        <v>26.544</v>
      </c>
      <c r="D16" s="15">
        <f t="shared" si="12"/>
        <v>45124.800000000003</v>
      </c>
    </row>
    <row r="17">
      <c r="A17" s="44" t="s">
        <v>243</v>
      </c>
      <c r="B17" s="1">
        <v>200</v>
      </c>
      <c r="C17" s="1">
        <f>F10</f>
        <v>26.544</v>
      </c>
      <c r="D17" s="15">
        <f t="shared" si="12"/>
        <v>5308.8000000000002</v>
      </c>
    </row>
    <row r="18">
      <c r="A18" s="44" t="s">
        <v>271</v>
      </c>
      <c r="B18" s="1">
        <v>308</v>
      </c>
      <c r="C18" s="1">
        <v>3</v>
      </c>
      <c r="D18" s="15">
        <f t="shared" si="12"/>
        <v>924</v>
      </c>
    </row>
    <row r="19">
      <c r="A19" s="44" t="s">
        <v>272</v>
      </c>
      <c r="B19" s="1">
        <v>1665</v>
      </c>
      <c r="C19" s="1">
        <f>F7</f>
        <v>5.5728</v>
      </c>
      <c r="D19" s="15">
        <f t="shared" si="12"/>
        <v>9278.7119999999995</v>
      </c>
    </row>
    <row r="20">
      <c r="A20" s="44" t="s">
        <v>273</v>
      </c>
      <c r="B20" s="1">
        <v>237</v>
      </c>
      <c r="C20" s="1">
        <f>F7</f>
        <v>5.5728</v>
      </c>
      <c r="D20" s="15">
        <f t="shared" si="12"/>
        <v>1320.7536</v>
      </c>
    </row>
    <row r="21">
      <c r="A21" s="44" t="s">
        <v>274</v>
      </c>
      <c r="B21" s="1">
        <v>1018</v>
      </c>
      <c r="C21" s="1">
        <f>F6*F9</f>
        <v>11.199999999999999</v>
      </c>
      <c r="D21" s="15">
        <f t="shared" si="12"/>
        <v>11401.6</v>
      </c>
    </row>
    <row r="22">
      <c r="A22" s="44" t="s">
        <v>275</v>
      </c>
      <c r="B22" s="1">
        <v>420</v>
      </c>
      <c r="C22" s="1">
        <f>7*F7</f>
        <v>39.009599999999999</v>
      </c>
      <c r="D22" s="15">
        <f t="shared" si="12"/>
        <v>16384.031999999999</v>
      </c>
    </row>
    <row r="23">
      <c r="A23" s="44" t="s">
        <v>276</v>
      </c>
      <c r="B23" s="1">
        <v>1300</v>
      </c>
      <c r="C23" s="1">
        <f>F7</f>
        <v>5.5728</v>
      </c>
      <c r="D23" s="15">
        <f t="shared" si="12"/>
        <v>7244.6400000000003</v>
      </c>
    </row>
    <row r="24">
      <c r="A24" s="44" t="s">
        <v>78</v>
      </c>
      <c r="B24" s="1"/>
      <c r="C24" s="1"/>
      <c r="D24" s="15">
        <f>SUM(D3:D23)</f>
        <v>168454.53279999999</v>
      </c>
    </row>
    <row r="25">
      <c r="A25" s="44"/>
      <c r="B25" s="1"/>
      <c r="C25" s="1"/>
      <c r="D25" s="15"/>
    </row>
    <row r="26">
      <c r="A26" s="44"/>
      <c r="B26" s="1"/>
      <c r="C26" s="1"/>
      <c r="D26" s="15"/>
    </row>
    <row r="27">
      <c r="A27" s="44"/>
      <c r="B27" s="1"/>
      <c r="C27" s="1"/>
      <c r="D27" s="15"/>
    </row>
    <row r="28">
      <c r="A28" s="44"/>
      <c r="B28" s="1"/>
      <c r="D28" s="15"/>
    </row>
    <row r="29">
      <c r="A29" s="44"/>
      <c r="B29" s="1"/>
      <c r="D29" s="15"/>
    </row>
    <row r="34">
      <c r="A34" s="44"/>
    </row>
    <row r="35">
      <c r="A35" s="44"/>
    </row>
    <row r="36">
      <c r="A36" s="44"/>
    </row>
    <row r="37">
      <c r="A37" s="44"/>
    </row>
    <row r="38">
      <c r="A38" s="44"/>
    </row>
    <row r="39">
      <c r="A39" s="44"/>
    </row>
    <row r="40">
      <c r="A40" s="44"/>
    </row>
    <row r="41">
      <c r="A41" s="44"/>
    </row>
    <row r="42">
      <c r="A42" s="44"/>
    </row>
    <row r="43" ht="57">
      <c r="A43" s="44" t="s">
        <v>252</v>
      </c>
    </row>
    <row r="49">
      <c r="A49" s="44" t="s">
        <v>253</v>
      </c>
    </row>
    <row r="50">
      <c r="A50" s="44" t="s">
        <v>254</v>
      </c>
    </row>
    <row r="51">
      <c r="A51" s="44" t="s">
        <v>255</v>
      </c>
    </row>
    <row r="52">
      <c r="A52" s="44" t="s">
        <v>256</v>
      </c>
    </row>
    <row r="53">
      <c r="A53" s="44" t="s">
        <v>257</v>
      </c>
    </row>
    <row r="54">
      <c r="A54" s="44" t="s">
        <v>258</v>
      </c>
    </row>
    <row r="55" ht="28.5">
      <c r="A55" s="44" t="s">
        <v>213</v>
      </c>
    </row>
    <row r="56">
      <c r="A56" s="44" t="s">
        <v>259</v>
      </c>
    </row>
    <row r="57">
      <c r="A57" s="44" t="s">
        <v>220</v>
      </c>
    </row>
    <row r="58">
      <c r="A58" s="44" t="s">
        <v>260</v>
      </c>
    </row>
    <row r="59" ht="28.5">
      <c r="A59" s="44" t="s">
        <v>261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49.5"/>
  </cols>
  <sheetData>
    <row r="1">
      <c r="A1" s="47"/>
      <c r="B1" s="1" t="s">
        <v>225</v>
      </c>
      <c r="C1" s="1" t="s">
        <v>226</v>
      </c>
      <c r="D1" s="1" t="s">
        <v>227</v>
      </c>
    </row>
    <row r="2">
      <c r="A2" s="47" t="s">
        <v>277</v>
      </c>
    </row>
    <row r="3">
      <c r="A3" s="1" t="s">
        <v>278</v>
      </c>
      <c r="B3" s="1">
        <v>2074</v>
      </c>
      <c r="C3" s="1">
        <v>1</v>
      </c>
      <c r="D3" s="1">
        <f t="shared" ref="D3:D23" si="13">B3*C3</f>
        <v>2074</v>
      </c>
      <c r="F3" s="1"/>
    </row>
    <row r="4">
      <c r="A4" s="1" t="s">
        <v>279</v>
      </c>
      <c r="B4" s="1">
        <v>6200</v>
      </c>
      <c r="C4" s="1">
        <v>1</v>
      </c>
      <c r="D4" s="1">
        <f t="shared" si="13"/>
        <v>6200</v>
      </c>
      <c r="F4" s="1"/>
    </row>
    <row r="5">
      <c r="A5" s="1" t="s">
        <v>280</v>
      </c>
      <c r="B5" s="1">
        <v>3750</v>
      </c>
      <c r="C5" s="1">
        <v>9</v>
      </c>
      <c r="D5" s="1">
        <f t="shared" si="13"/>
        <v>33750</v>
      </c>
      <c r="F5" s="1" t="s">
        <v>281</v>
      </c>
    </row>
    <row r="6">
      <c r="A6" s="1" t="s">
        <v>282</v>
      </c>
      <c r="B6" s="1">
        <v>1101</v>
      </c>
      <c r="C6" s="1">
        <v>9</v>
      </c>
      <c r="D6" s="1">
        <f t="shared" si="13"/>
        <v>9909</v>
      </c>
      <c r="F6" s="1" t="s">
        <v>283</v>
      </c>
    </row>
    <row r="7">
      <c r="A7" s="1" t="s">
        <v>284</v>
      </c>
      <c r="B7" s="1">
        <v>307</v>
      </c>
      <c r="C7" s="1">
        <v>9</v>
      </c>
      <c r="D7" s="1">
        <f t="shared" si="13"/>
        <v>2763</v>
      </c>
    </row>
    <row r="8">
      <c r="A8" s="1" t="s">
        <v>285</v>
      </c>
      <c r="B8" s="1">
        <v>5292</v>
      </c>
      <c r="C8" s="1">
        <v>1</v>
      </c>
      <c r="D8" s="1">
        <f t="shared" si="13"/>
        <v>5292</v>
      </c>
    </row>
    <row r="9">
      <c r="A9" s="1" t="s">
        <v>286</v>
      </c>
      <c r="B9" s="1">
        <v>1224</v>
      </c>
      <c r="C9" s="1">
        <v>2</v>
      </c>
      <c r="D9" s="1">
        <f t="shared" si="13"/>
        <v>2448</v>
      </c>
    </row>
    <row r="10">
      <c r="A10" s="1" t="s">
        <v>287</v>
      </c>
      <c r="B10" s="1">
        <v>2742</v>
      </c>
      <c r="C10" s="1">
        <v>1</v>
      </c>
      <c r="D10" s="1">
        <f t="shared" si="13"/>
        <v>2742</v>
      </c>
    </row>
    <row r="11">
      <c r="A11" s="1" t="s">
        <v>288</v>
      </c>
      <c r="B11" s="1">
        <v>1890</v>
      </c>
      <c r="C11" s="1">
        <v>8</v>
      </c>
      <c r="D11" s="1">
        <f t="shared" si="13"/>
        <v>15120</v>
      </c>
    </row>
    <row r="12">
      <c r="A12" s="1" t="s">
        <v>289</v>
      </c>
      <c r="B12" s="1">
        <v>1467</v>
      </c>
      <c r="C12" s="1">
        <v>2</v>
      </c>
      <c r="D12" s="1">
        <f t="shared" si="13"/>
        <v>2934</v>
      </c>
    </row>
    <row r="13">
      <c r="A13" s="1" t="s">
        <v>290</v>
      </c>
      <c r="B13" s="1">
        <v>674</v>
      </c>
      <c r="C13" s="1">
        <v>2</v>
      </c>
      <c r="D13" s="1">
        <f t="shared" si="13"/>
        <v>1348</v>
      </c>
    </row>
    <row r="14">
      <c r="A14" s="1" t="s">
        <v>291</v>
      </c>
      <c r="B14" s="1">
        <v>615</v>
      </c>
      <c r="C14" s="1">
        <v>2</v>
      </c>
      <c r="D14" s="1">
        <f t="shared" si="13"/>
        <v>1230</v>
      </c>
    </row>
    <row r="15">
      <c r="A15" s="1" t="s">
        <v>292</v>
      </c>
      <c r="B15" s="1">
        <v>1077</v>
      </c>
      <c r="C15" s="1">
        <v>2</v>
      </c>
      <c r="D15" s="1">
        <f t="shared" si="13"/>
        <v>2154</v>
      </c>
    </row>
    <row r="16">
      <c r="A16" s="1" t="s">
        <v>293</v>
      </c>
      <c r="B16" s="1">
        <v>4000</v>
      </c>
      <c r="C16" s="1">
        <v>1</v>
      </c>
      <c r="D16" s="1">
        <f t="shared" si="13"/>
        <v>4000</v>
      </c>
    </row>
    <row r="17">
      <c r="A17" s="1" t="s">
        <v>294</v>
      </c>
      <c r="B17" s="1">
        <v>494</v>
      </c>
      <c r="C17" s="1">
        <v>4</v>
      </c>
      <c r="D17" s="1">
        <f t="shared" si="13"/>
        <v>1976</v>
      </c>
    </row>
    <row r="18">
      <c r="A18" s="1" t="s">
        <v>295</v>
      </c>
      <c r="B18" s="1">
        <v>3700</v>
      </c>
      <c r="C18" s="1">
        <v>1</v>
      </c>
      <c r="D18" s="1">
        <f t="shared" si="13"/>
        <v>3700</v>
      </c>
    </row>
    <row r="19">
      <c r="A19" s="1" t="s">
        <v>296</v>
      </c>
      <c r="B19" s="1">
        <v>768</v>
      </c>
      <c r="C19" s="1">
        <v>2</v>
      </c>
      <c r="D19" s="1">
        <f t="shared" si="13"/>
        <v>1536</v>
      </c>
    </row>
    <row r="20">
      <c r="A20" s="1" t="s">
        <v>297</v>
      </c>
      <c r="B20" s="1">
        <v>742</v>
      </c>
      <c r="C20" s="1">
        <f>68</f>
        <v>68</v>
      </c>
      <c r="D20" s="1">
        <f t="shared" si="13"/>
        <v>50456</v>
      </c>
    </row>
    <row r="21">
      <c r="A21" s="1" t="s">
        <v>298</v>
      </c>
      <c r="B21" s="1">
        <v>1120</v>
      </c>
      <c r="C21" s="1">
        <v>1</v>
      </c>
      <c r="D21" s="1">
        <f t="shared" si="13"/>
        <v>1120</v>
      </c>
    </row>
    <row r="22">
      <c r="A22" s="1" t="s">
        <v>299</v>
      </c>
      <c r="B22" s="1">
        <v>180</v>
      </c>
      <c r="C22" s="1">
        <v>15</v>
      </c>
      <c r="D22" s="1">
        <f t="shared" si="13"/>
        <v>2700</v>
      </c>
    </row>
    <row r="23">
      <c r="A23" s="1" t="s">
        <v>300</v>
      </c>
      <c r="B23" s="1">
        <v>470</v>
      </c>
      <c r="C23" s="1">
        <v>10</v>
      </c>
      <c r="D23" s="1">
        <f t="shared" si="13"/>
        <v>4700</v>
      </c>
    </row>
    <row r="24">
      <c r="A24" s="1" t="s">
        <v>78</v>
      </c>
      <c r="D24" s="1">
        <f>SUM(D3:D23)</f>
        <v>158152</v>
      </c>
    </row>
    <row r="25">
      <c r="A25" s="1"/>
    </row>
    <row r="26">
      <c r="A26" s="1"/>
    </row>
    <row r="27">
      <c r="A27" s="1"/>
    </row>
    <row r="28">
      <c r="A28" s="1"/>
    </row>
    <row r="32">
      <c r="A32" s="44"/>
    </row>
    <row r="33">
      <c r="A33" s="44"/>
    </row>
    <row r="34">
      <c r="A34" s="44"/>
    </row>
    <row r="35">
      <c r="A35" s="44"/>
    </row>
    <row r="36">
      <c r="A36" s="45"/>
    </row>
    <row r="37">
      <c r="A37" s="45"/>
    </row>
    <row r="38">
      <c r="A38" s="45"/>
    </row>
    <row r="39">
      <c r="A39" s="45"/>
    </row>
    <row r="40">
      <c r="A40" s="45"/>
    </row>
    <row r="41">
      <c r="A41" s="45"/>
    </row>
    <row r="42">
      <c r="A42" s="45"/>
    </row>
    <row r="43">
      <c r="A43" s="45"/>
    </row>
    <row r="44">
      <c r="A44" s="45"/>
    </row>
    <row r="45">
      <c r="A45" s="45"/>
    </row>
    <row r="46">
      <c r="A46" s="45" t="s">
        <v>301</v>
      </c>
    </row>
    <row r="47" ht="57">
      <c r="A47" s="44" t="s">
        <v>302</v>
      </c>
    </row>
    <row r="48">
      <c r="A48" s="44" t="s">
        <v>303</v>
      </c>
    </row>
    <row r="49">
      <c r="A49" s="44" t="s">
        <v>304</v>
      </c>
    </row>
    <row r="50">
      <c r="A50" s="44" t="s">
        <v>305</v>
      </c>
    </row>
    <row r="51">
      <c r="A51" s="44" t="s">
        <v>306</v>
      </c>
    </row>
    <row r="52">
      <c r="A52" s="44" t="s">
        <v>307</v>
      </c>
    </row>
    <row r="53">
      <c r="A53" s="44" t="s">
        <v>308</v>
      </c>
    </row>
    <row r="54">
      <c r="A54" s="44" t="s">
        <v>309</v>
      </c>
    </row>
    <row r="55">
      <c r="A55" s="44" t="s">
        <v>310</v>
      </c>
    </row>
    <row r="56">
      <c r="A56" s="44" t="s">
        <v>311</v>
      </c>
    </row>
    <row r="57" ht="28.5">
      <c r="A57" s="44" t="s">
        <v>213</v>
      </c>
    </row>
    <row r="58">
      <c r="A58" s="44" t="s">
        <v>259</v>
      </c>
    </row>
    <row r="59" ht="57">
      <c r="A59" s="44" t="s">
        <v>312</v>
      </c>
    </row>
    <row r="60">
      <c r="A60" s="44" t="s">
        <v>260</v>
      </c>
    </row>
    <row r="61" ht="28.5">
      <c r="A61" s="44" t="s">
        <v>261</v>
      </c>
    </row>
    <row r="62" ht="28.5">
      <c r="A62" s="44" t="s">
        <v>221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R7-Office/7.4.0.112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Сагынай Сайдильдина</cp:lastModifiedBy>
  <cp:revision>62</cp:revision>
  <dcterms:modified xsi:type="dcterms:W3CDTF">2023-11-09T08:23:55Z</dcterms:modified>
</cp:coreProperties>
</file>