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ard\Downloads\ISE-Project\assets\"/>
    </mc:Choice>
  </mc:AlternateContent>
  <xr:revisionPtr revIDLastSave="0" documentId="13_ncr:1_{3990A075-229C-4A20-B62A-8B078290DA37}" xr6:coauthVersionLast="47" xr6:coauthVersionMax="47" xr10:uidLastSave="{00000000-0000-0000-0000-000000000000}"/>
  <bookViews>
    <workbookView xWindow="-108" yWindow="-108" windowWidth="23256" windowHeight="12456" xr2:uid="{7498D8F4-88D9-4E80-ACC4-39B418B94F8F}"/>
  </bookViews>
  <sheets>
    <sheet name="Sheet1" sheetId="1" r:id="rId1"/>
  </sheets>
  <definedNames>
    <definedName name="DilutionCoeff_B18">Sheet1!$B$18</definedName>
    <definedName name="DilutionDenom_C18">Sheet1!$C$18</definedName>
    <definedName name="Exponent_P10">Sheet1!$P$10</definedName>
    <definedName name="FillWeight_g_J11">Sheet1!$J$11</definedName>
    <definedName name="Offset_P10">Sheet1!$S$11</definedName>
    <definedName name="Output">Sheet1!$J$15</definedName>
    <definedName name="Output_Adjusted_CFU_per_g">Sheet1!$L$15</definedName>
    <definedName name="Output_CFU_per_mL">Sheet1!$J$15</definedName>
    <definedName name="Output_Sample_CFU_per_g">Sheet1!$K$15</definedName>
    <definedName name="RequiredSpecCoeff_C35">Sheet1!$C$35</definedName>
    <definedName name="TOU_Active_1">Sheet1!$D$18</definedName>
    <definedName name="TOU_Active_2">Sheet1!$D$19</definedName>
    <definedName name="TOU_Active_3">Sheet1!$D$20</definedName>
    <definedName name="TOU_Active_4">Sheet1!$D$21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E18" i="1"/>
  <c r="H4" i="1" l="1"/>
  <c r="N4" i="1"/>
  <c r="B41" i="1"/>
  <c r="D15" i="1" s="1"/>
  <c r="B40" i="1"/>
  <c r="D14" i="1" s="1"/>
  <c r="B39" i="1"/>
  <c r="D13" i="1" s="1"/>
  <c r="B38" i="1"/>
  <c r="D12" i="1" s="1"/>
  <c r="D33" i="1"/>
  <c r="D32" i="1"/>
  <c r="D31" i="1"/>
  <c r="D30" i="1"/>
  <c r="C30" i="1"/>
  <c r="B30" i="1"/>
  <c r="D27" i="1"/>
  <c r="I26" i="1"/>
  <c r="P25" i="1" s="1"/>
  <c r="D26" i="1"/>
  <c r="I25" i="1"/>
  <c r="P24" i="1" s="1"/>
  <c r="D25" i="1"/>
  <c r="I24" i="1"/>
  <c r="O23" i="1" s="1"/>
  <c r="D24" i="1"/>
  <c r="C24" i="1"/>
  <c r="B24" i="1"/>
  <c r="I23" i="1"/>
  <c r="P22" i="1" s="1"/>
  <c r="P17" i="1"/>
  <c r="O17" i="1"/>
  <c r="C12" i="1"/>
  <c r="B12" i="1"/>
  <c r="D9" i="1"/>
  <c r="B9" i="1"/>
  <c r="A9" i="1"/>
  <c r="C8" i="1"/>
  <c r="A8" i="1"/>
  <c r="C7" i="1"/>
  <c r="A7" i="1"/>
  <c r="C6" i="1"/>
  <c r="C5" i="1" s="1"/>
  <c r="C4" i="1" s="1"/>
  <c r="C3" i="1" s="1"/>
  <c r="A6" i="1"/>
  <c r="D5" i="1"/>
  <c r="B5" i="1"/>
  <c r="B4" i="1" s="1"/>
  <c r="A5" i="1"/>
  <c r="A4" i="1" s="1"/>
  <c r="A3" i="1" s="1"/>
  <c r="D4" i="1"/>
  <c r="D3" i="1" s="1"/>
  <c r="L6" i="1" s="1"/>
  <c r="N3" i="1"/>
  <c r="N2" i="1"/>
  <c r="E19" i="1" s="1"/>
  <c r="O25" i="1" l="1"/>
  <c r="P23" i="1"/>
  <c r="E32" i="1"/>
  <c r="E25" i="1"/>
  <c r="E33" i="1"/>
  <c r="E26" i="1"/>
  <c r="E31" i="1"/>
  <c r="E27" i="1"/>
  <c r="H6" i="1"/>
  <c r="I6" i="1"/>
  <c r="I4" i="1"/>
  <c r="N22" i="1" s="1"/>
  <c r="C9" i="1"/>
  <c r="K6" i="1" s="1"/>
  <c r="O22" i="1"/>
  <c r="O24" i="1"/>
  <c r="F30" i="1" l="1"/>
  <c r="F24" i="1"/>
  <c r="N24" i="1"/>
  <c r="K25" i="1" s="1"/>
  <c r="I5" i="1"/>
  <c r="K5" i="1"/>
  <c r="E30" i="1" s="1"/>
  <c r="H5" i="1"/>
  <c r="J6" i="1"/>
  <c r="N23" i="1"/>
  <c r="K24" i="1" s="1"/>
  <c r="N17" i="1"/>
  <c r="P14" i="1" s="1"/>
  <c r="E20" i="1"/>
  <c r="N25" i="1"/>
  <c r="K26" i="1" s="1"/>
  <c r="E21" i="1"/>
  <c r="J5" i="1"/>
  <c r="L5" i="1"/>
  <c r="E24" i="1" s="1"/>
  <c r="J4" i="1"/>
  <c r="F18" i="1" l="1"/>
  <c r="E13" i="1"/>
  <c r="E15" i="1"/>
  <c r="E14" i="1"/>
  <c r="E12" i="1"/>
  <c r="I15" i="1" l="1"/>
  <c r="L25" i="1"/>
  <c r="F14" i="1"/>
  <c r="L23" i="1"/>
  <c r="F12" i="1"/>
  <c r="F15" i="1"/>
  <c r="L26" i="1"/>
  <c r="F13" i="1"/>
  <c r="L24" i="1"/>
  <c r="L10" i="1" l="1"/>
  <c r="M10" i="1" s="1"/>
  <c r="K28" i="1"/>
  <c r="J30" i="1" s="1"/>
  <c r="N10" i="1" s="1"/>
  <c r="O10" i="1" l="1"/>
  <c r="P10" i="1" s="1"/>
  <c r="K15" i="1" s="1"/>
  <c r="L15" i="1" s="1"/>
  <c r="N33" i="1" l="1"/>
  <c r="N32" i="1" l="1"/>
  <c r="N28" i="1"/>
  <c r="N30" i="1"/>
  <c r="N29" i="1"/>
  <c r="N31" i="1"/>
</calcChain>
</file>

<file path=xl/sharedStrings.xml><?xml version="1.0" encoding="utf-8"?>
<sst xmlns="http://schemas.openxmlformats.org/spreadsheetml/2006/main" count="82" uniqueCount="58">
  <si>
    <t>Microbial Growth Curve - Bacterial</t>
  </si>
  <si>
    <t>Light Trans OU</t>
  </si>
  <si>
    <t>[CO2] mg</t>
  </si>
  <si>
    <t>CFU/ml</t>
  </si>
  <si>
    <t>OD 600 Units</t>
  </si>
  <si>
    <t>Total Aerobic Count</t>
  </si>
  <si>
    <t>Test Variables</t>
  </si>
  <si>
    <t>Slope T0-T10</t>
  </si>
  <si>
    <t>0.01 mg CO2 = 100,000 cfu/ml</t>
  </si>
  <si>
    <t>Standard</t>
  </si>
  <si>
    <t>Slope T10-T20</t>
  </si>
  <si>
    <t>0.01 mg CO2 = 0.001 OD 600 units</t>
  </si>
  <si>
    <t>Slope</t>
  </si>
  <si>
    <t>Slope T20-End</t>
  </si>
  <si>
    <t>0.01 mg CO2 = 2930 Light TOU</t>
  </si>
  <si>
    <t>Intercept</t>
  </si>
  <si>
    <r>
      <t xml:space="preserve">1 CFU/g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0.0293 TOU</t>
    </r>
  </si>
  <si>
    <t>R2</t>
  </si>
  <si>
    <t>Log Difference Calculator</t>
  </si>
  <si>
    <t>Read (IC) (Hours)</t>
  </si>
  <si>
    <t>Dilution Coefficient</t>
  </si>
  <si>
    <t>Test Dilution</t>
  </si>
  <si>
    <t>Area [CO2] mg</t>
  </si>
  <si>
    <t>IC Result cfu/vial</t>
  </si>
  <si>
    <t>IC Difference Between Time Points cfu/vial</t>
  </si>
  <si>
    <t>Fill weight (g)</t>
  </si>
  <si>
    <t xml:space="preserve">TOU Point Read </t>
  </si>
  <si>
    <t>TOU</t>
  </si>
  <si>
    <t>Hour</t>
  </si>
  <si>
    <t xml:space="preserve">cfu/vial </t>
  </si>
  <si>
    <t>Ave. Test Dilution cfu/mL</t>
  </si>
  <si>
    <t>Ave. Assay cfu/mL</t>
  </si>
  <si>
    <t xml:space="preserve">Sample cfu/g </t>
  </si>
  <si>
    <t>Adjusted Sample cfu/g</t>
  </si>
  <si>
    <t>Normal Read</t>
  </si>
  <si>
    <t>Fast Read</t>
  </si>
  <si>
    <t>Slow Read</t>
  </si>
  <si>
    <t>Normal Read (Hours)</t>
  </si>
  <si>
    <t>Result cfu/ml</t>
  </si>
  <si>
    <t xml:space="preserve"> Test Dilution cfu/mL</t>
  </si>
  <si>
    <t xml:space="preserve">Assay Hour Point Read </t>
  </si>
  <si>
    <t>cfu/vial</t>
  </si>
  <si>
    <t>Log  Diff. Value</t>
  </si>
  <si>
    <t>Fast Read (Hours)</t>
  </si>
  <si>
    <t>Sample cfu</t>
  </si>
  <si>
    <t>Dilution</t>
  </si>
  <si>
    <t>Average Log Dif.</t>
  </si>
  <si>
    <t>Slow Read (Hours)</t>
  </si>
  <si>
    <t>Assay cfu/vial</t>
  </si>
  <si>
    <t>Required Test Dilution (Specification)</t>
  </si>
  <si>
    <t xml:space="preserve">Read </t>
  </si>
  <si>
    <t xml:space="preserve"> </t>
  </si>
  <si>
    <t>0 hrs.</t>
  </si>
  <si>
    <t>10 hrs.</t>
  </si>
  <si>
    <t xml:space="preserve">  </t>
  </si>
  <si>
    <t>20 hrs.</t>
  </si>
  <si>
    <t>End of Assay</t>
  </si>
  <si>
    <t>GPT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</si>
</sst>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#,##0.00000"/>
    <numFmt numFmtId="167" formatCode="0.000"/>
    <numFmt numFmtId="168" formatCode="0.000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1" xfId="0" applyNumberFormat="1" applyBorder="1"/>
    <xf numFmtId="165" fontId="0" fillId="0" borderId="1" xfId="0" applyNumberFormat="1" applyBorder="1"/>
    <xf numFmtId="0" fontId="0" fillId="0" borderId="6" xfId="0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8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4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/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12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93A2-0DB7-4242-9977-9022956F4ACC}">
  <dimension ref="A1:S41"/>
  <sheetViews>
    <sheetView tabSelected="1" zoomScale="71" zoomScaleNormal="89" workbookViewId="0">
      <selection activeCell="J15" sqref="J15:J16"/>
    </sheetView>
  </sheetViews>
  <sheetFormatPr defaultRowHeight="14.4" x14ac:dyDescent="0.3"/>
  <cols>
    <col min="1" max="1" width="18" bestFit="1" customWidth="1"/>
    <col min="2" max="2" width="16.5546875" bestFit="1" customWidth="1"/>
    <col min="4" max="4" width="12.77734375" bestFit="1" customWidth="1"/>
    <col min="5" max="5" width="14.5546875" customWidth="1"/>
    <col min="6" max="6" width="22.88671875" customWidth="1"/>
    <col min="7" max="7" width="12.33203125" bestFit="1" customWidth="1"/>
    <col min="9" max="9" width="12.88671875" bestFit="1" customWidth="1"/>
    <col min="10" max="10" width="13" bestFit="1" customWidth="1"/>
    <col min="11" max="12" width="12.88671875" bestFit="1" customWidth="1"/>
    <col min="13" max="13" width="13" bestFit="1" customWidth="1"/>
  </cols>
  <sheetData>
    <row r="1" spans="1:19" ht="18" x14ac:dyDescent="0.35">
      <c r="A1" s="100" t="s">
        <v>0</v>
      </c>
      <c r="B1" s="100"/>
      <c r="C1" s="100"/>
    </row>
    <row r="2" spans="1:19" x14ac:dyDescent="0.3">
      <c r="A2" s="1" t="s">
        <v>1</v>
      </c>
      <c r="B2" s="1" t="s">
        <v>2</v>
      </c>
      <c r="C2" s="1" t="s">
        <v>3</v>
      </c>
      <c r="D2" s="1" t="s">
        <v>4</v>
      </c>
      <c r="E2" s="101" t="s">
        <v>5</v>
      </c>
      <c r="F2" s="101"/>
      <c r="G2" s="1" t="s">
        <v>6</v>
      </c>
      <c r="H2" s="2" t="s">
        <v>3</v>
      </c>
      <c r="I2" s="1" t="s">
        <v>1</v>
      </c>
      <c r="J2" s="1" t="s">
        <v>4</v>
      </c>
      <c r="K2" s="1" t="s">
        <v>1</v>
      </c>
      <c r="L2" s="1" t="s">
        <v>1</v>
      </c>
      <c r="M2" s="1" t="s">
        <v>7</v>
      </c>
      <c r="N2" s="3">
        <f>(D19-D18)/10</f>
        <v>1</v>
      </c>
    </row>
    <row r="3" spans="1:19" x14ac:dyDescent="0.3">
      <c r="A3" s="1">
        <f>0.5*A4</f>
        <v>366.25</v>
      </c>
      <c r="B3" s="4">
        <v>1.25E-3</v>
      </c>
      <c r="C3" s="1">
        <f t="shared" ref="C3:D5" si="0">0.5*C4</f>
        <v>12500</v>
      </c>
      <c r="D3" s="1">
        <f t="shared" si="0"/>
        <v>1.25E-4</v>
      </c>
      <c r="E3" s="89" t="s">
        <v>8</v>
      </c>
      <c r="F3" s="89"/>
      <c r="G3" s="5" t="s">
        <v>9</v>
      </c>
      <c r="H3" s="6">
        <v>100000</v>
      </c>
      <c r="I3" s="5">
        <v>2930</v>
      </c>
      <c r="J3" s="5">
        <v>1E-3</v>
      </c>
      <c r="K3" s="5">
        <v>4890</v>
      </c>
      <c r="L3" s="5">
        <v>1960</v>
      </c>
      <c r="M3" s="1" t="s">
        <v>10</v>
      </c>
      <c r="N3" s="3">
        <f>(D20-D19)/10</f>
        <v>1</v>
      </c>
    </row>
    <row r="4" spans="1:19" x14ac:dyDescent="0.3">
      <c r="A4" s="1">
        <f>0.5*A5</f>
        <v>732.5</v>
      </c>
      <c r="B4" s="7">
        <f>0.5*B5</f>
        <v>2.5000000000000001E-3</v>
      </c>
      <c r="C4" s="1">
        <f t="shared" si="0"/>
        <v>25000</v>
      </c>
      <c r="D4" s="1">
        <f t="shared" si="0"/>
        <v>2.5000000000000001E-4</v>
      </c>
      <c r="E4" s="91" t="s">
        <v>11</v>
      </c>
      <c r="F4" s="91"/>
      <c r="G4" s="5" t="s">
        <v>12</v>
      </c>
      <c r="H4" s="9">
        <f>SLOPE(B3:B9,C3:C9)</f>
        <v>9.9999999999999995E-8</v>
      </c>
      <c r="I4" s="5">
        <f>SLOPE(A3:A9,C3:C9)</f>
        <v>2.9299999999999996E-2</v>
      </c>
      <c r="J4" s="9">
        <f>SLOPE(C3:C9,D3:D9)</f>
        <v>99999999.99999997</v>
      </c>
      <c r="K4" s="5">
        <v>4.8899999999999999E-2</v>
      </c>
      <c r="L4" s="5">
        <v>1.9599999999999999E-2</v>
      </c>
      <c r="M4" s="1" t="s">
        <v>13</v>
      </c>
      <c r="N4" s="3">
        <f>(D21-D20)/4.1</f>
        <v>2.4390243902439028</v>
      </c>
    </row>
    <row r="5" spans="1:19" x14ac:dyDescent="0.3">
      <c r="A5" s="1">
        <f>0.5*A6</f>
        <v>1465</v>
      </c>
      <c r="B5" s="7">
        <f>0.5*B6</f>
        <v>5.0000000000000001E-3</v>
      </c>
      <c r="C5" s="1">
        <f>0.5*C6</f>
        <v>50000</v>
      </c>
      <c r="D5" s="1">
        <f t="shared" si="0"/>
        <v>5.0000000000000001E-4</v>
      </c>
      <c r="E5" s="90" t="s">
        <v>14</v>
      </c>
      <c r="F5" s="102"/>
      <c r="G5" s="5" t="s">
        <v>15</v>
      </c>
      <c r="H5" s="10">
        <f>INTERCEPT(B3:B9,C3:C9)</f>
        <v>1.7347234759768071E-18</v>
      </c>
      <c r="I5" s="10">
        <f>INTERCEPT(A3:A9,C3:C9)</f>
        <v>0</v>
      </c>
      <c r="J5" s="5">
        <f>INTERCEPT(C3:C9,D3:D9)</f>
        <v>2.9103830456733704E-11</v>
      </c>
      <c r="K5" s="10">
        <f>INTERCEPT(A3:A9,C3:C9)</f>
        <v>0</v>
      </c>
      <c r="L5" s="10">
        <f>INTERCEPT(A3:A9,C3:C9)</f>
        <v>0</v>
      </c>
    </row>
    <row r="6" spans="1:19" x14ac:dyDescent="0.3">
      <c r="A6" s="1">
        <f>I3</f>
        <v>2930</v>
      </c>
      <c r="B6" s="7">
        <v>0.01</v>
      </c>
      <c r="C6" s="1">
        <f>H3</f>
        <v>100000</v>
      </c>
      <c r="D6" s="1">
        <v>1E-3</v>
      </c>
      <c r="E6" s="99" t="s">
        <v>16</v>
      </c>
      <c r="F6" s="99"/>
      <c r="G6" s="5" t="s">
        <v>17</v>
      </c>
      <c r="H6" s="10">
        <f>RSQ(B3:B9,C3:C9)</f>
        <v>0.99999999999999978</v>
      </c>
      <c r="I6" s="10">
        <f>RSQ(A3:A9,C3:C9)</f>
        <v>0.99999999999999978</v>
      </c>
      <c r="J6" s="10">
        <f>RSQ(C3:C9,D3:D9)</f>
        <v>0.99999999999999956</v>
      </c>
      <c r="K6" s="10">
        <f>RSQ(A3:A9,C3:C9)</f>
        <v>0.99999999999999978</v>
      </c>
      <c r="L6" s="10">
        <f>RSQ(B3:B9,D3:D9)</f>
        <v>1</v>
      </c>
    </row>
    <row r="7" spans="1:19" x14ac:dyDescent="0.3">
      <c r="A7" s="1">
        <f>I3</f>
        <v>2930</v>
      </c>
      <c r="B7" s="7">
        <v>0.01</v>
      </c>
      <c r="C7" s="1">
        <f>H3</f>
        <v>100000</v>
      </c>
      <c r="D7" s="1">
        <v>1E-3</v>
      </c>
      <c r="E7" s="88"/>
      <c r="F7" s="89"/>
    </row>
    <row r="8" spans="1:19" x14ac:dyDescent="0.3">
      <c r="A8" s="1">
        <f>I3</f>
        <v>2930</v>
      </c>
      <c r="B8" s="7">
        <v>0.01</v>
      </c>
      <c r="C8" s="1">
        <f>H3</f>
        <v>100000</v>
      </c>
      <c r="D8" s="1">
        <v>1E-3</v>
      </c>
      <c r="E8" s="90"/>
      <c r="F8" s="91"/>
    </row>
    <row r="9" spans="1:19" x14ac:dyDescent="0.3">
      <c r="A9" s="1">
        <f>2*A6</f>
        <v>5860</v>
      </c>
      <c r="B9" s="7">
        <f>2*B6</f>
        <v>0.02</v>
      </c>
      <c r="C9" s="1">
        <f>2*C6</f>
        <v>200000</v>
      </c>
      <c r="D9" s="1">
        <f>2*D6</f>
        <v>2E-3</v>
      </c>
      <c r="E9" s="90"/>
      <c r="F9" s="91"/>
      <c r="L9" s="92" t="s">
        <v>18</v>
      </c>
      <c r="M9" s="93"/>
      <c r="N9" s="93"/>
      <c r="O9" s="93"/>
      <c r="P9" s="94"/>
    </row>
    <row r="10" spans="1:19" x14ac:dyDescent="0.3">
      <c r="D10" s="8"/>
      <c r="F10" s="8"/>
      <c r="L10" s="12">
        <f>I15</f>
        <v>1.2788731659084325</v>
      </c>
      <c r="M10" s="13">
        <f>(LOG(L10))</f>
        <v>0.1068274748324617</v>
      </c>
      <c r="N10" s="12">
        <f>J30</f>
        <v>2.5868829698577569</v>
      </c>
      <c r="O10" s="13">
        <f>LOG(N10)</f>
        <v>0.4127767817530163</v>
      </c>
      <c r="P10" s="14">
        <f>ROUND(ABS(M10-O10),0)</f>
        <v>0</v>
      </c>
      <c r="S10" t="s">
        <v>57</v>
      </c>
    </row>
    <row r="11" spans="1:19" ht="28.8" x14ac:dyDescent="0.3">
      <c r="A11" s="15" t="s">
        <v>19</v>
      </c>
      <c r="B11" s="16" t="s">
        <v>20</v>
      </c>
      <c r="C11" s="16" t="s">
        <v>21</v>
      </c>
      <c r="D11" s="16" t="s">
        <v>22</v>
      </c>
      <c r="E11" s="16" t="s">
        <v>23</v>
      </c>
      <c r="F11" s="95" t="s">
        <v>24</v>
      </c>
      <c r="G11" s="95"/>
      <c r="H11" s="17"/>
      <c r="I11" s="15" t="s">
        <v>25</v>
      </c>
      <c r="J11" s="18">
        <v>1</v>
      </c>
      <c r="K11" s="19"/>
      <c r="S11">
        <v>2</v>
      </c>
    </row>
    <row r="12" spans="1:19" x14ac:dyDescent="0.3">
      <c r="A12" s="1">
        <v>0</v>
      </c>
      <c r="B12" s="96">
        <f>B18</f>
        <v>0.01</v>
      </c>
      <c r="C12" s="97">
        <f>C18</f>
        <v>100</v>
      </c>
      <c r="D12" s="20">
        <f>B38/0.1</f>
        <v>5.0000000000000001E-4</v>
      </c>
      <c r="E12" s="21">
        <f>(((D12-H5)/H4)*(C12*B12))/14.65</f>
        <v>341.29692832764385</v>
      </c>
      <c r="F12" s="74">
        <f>E12-E12</f>
        <v>0</v>
      </c>
      <c r="G12" s="74"/>
      <c r="H12" s="22"/>
      <c r="I12" s="23"/>
      <c r="J12" s="23"/>
      <c r="K12" s="23"/>
      <c r="L12" s="23"/>
      <c r="M12" s="24"/>
      <c r="N12" s="71" t="s">
        <v>26</v>
      </c>
      <c r="O12" s="98"/>
      <c r="P12" s="72"/>
    </row>
    <row r="13" spans="1:19" x14ac:dyDescent="0.3">
      <c r="A13" s="1">
        <v>10</v>
      </c>
      <c r="B13" s="96"/>
      <c r="C13" s="97"/>
      <c r="D13" s="20">
        <f>B39/0.1</f>
        <v>1E-3</v>
      </c>
      <c r="E13" s="21">
        <f>(((D13-H5)/H4)*(C12*B12))/14.65</f>
        <v>682.59385665528896</v>
      </c>
      <c r="F13" s="74">
        <f>E13-E12</f>
        <v>341.29692832764511</v>
      </c>
      <c r="G13" s="74"/>
      <c r="H13" s="22"/>
      <c r="I13" s="25"/>
      <c r="J13" s="25"/>
      <c r="K13" s="25"/>
      <c r="L13" s="25"/>
      <c r="N13" s="16" t="s">
        <v>27</v>
      </c>
      <c r="O13" s="26" t="s">
        <v>28</v>
      </c>
      <c r="P13" s="16" t="s">
        <v>29</v>
      </c>
    </row>
    <row r="14" spans="1:19" ht="43.2" x14ac:dyDescent="0.3">
      <c r="A14" s="16">
        <v>20</v>
      </c>
      <c r="B14" s="96"/>
      <c r="C14" s="97"/>
      <c r="D14" s="27">
        <f>B40/0.1</f>
        <v>1.4999999999999998E-3</v>
      </c>
      <c r="E14" s="28">
        <f>(((D14-H5)/H4)*(C12*B12))/14.65</f>
        <v>1023.8907849829338</v>
      </c>
      <c r="F14" s="70">
        <f>E14-E13</f>
        <v>341.29692832764488</v>
      </c>
      <c r="G14" s="70"/>
      <c r="H14" s="24"/>
      <c r="I14" s="29" t="s">
        <v>30</v>
      </c>
      <c r="J14" s="30" t="s">
        <v>31</v>
      </c>
      <c r="K14" s="30" t="s">
        <v>32</v>
      </c>
      <c r="L14" s="30" t="s">
        <v>33</v>
      </c>
      <c r="N14" s="31">
        <v>135</v>
      </c>
      <c r="O14" s="32">
        <v>5</v>
      </c>
      <c r="P14" s="33">
        <f>AVERAGE(N17,O17,P17)</f>
        <v>879.99998955450894</v>
      </c>
    </row>
    <row r="15" spans="1:19" x14ac:dyDescent="0.3">
      <c r="A15" s="1">
        <v>24</v>
      </c>
      <c r="B15" s="96"/>
      <c r="C15" s="97"/>
      <c r="D15" s="20">
        <f>B41/0.1</f>
        <v>2E-3</v>
      </c>
      <c r="E15" s="21">
        <f>(((D15-H5)/H4)*(C12*B12))/14.65</f>
        <v>1365.1877133105793</v>
      </c>
      <c r="F15" s="74">
        <f>E15-E14</f>
        <v>341.29692832764545</v>
      </c>
      <c r="G15" s="74"/>
      <c r="H15" s="22"/>
      <c r="I15" s="75">
        <f>AVERAGE(F18,F24,F30)</f>
        <v>1.2788731659084325</v>
      </c>
      <c r="J15" s="77">
        <f>(I15*C18)</f>
        <v>127.88731659084324</v>
      </c>
      <c r="K15" s="85">
        <f>(J15/POWER(10,P10))*J11</f>
        <v>127.88731659084324</v>
      </c>
      <c r="L15" s="86">
        <f>IF(I15&gt;=ROUND(LOG(J30),0),K15/10,K15)</f>
        <v>12.788731659084323</v>
      </c>
    </row>
    <row r="16" spans="1:19" x14ac:dyDescent="0.3">
      <c r="A16" s="87"/>
      <c r="B16" s="87"/>
      <c r="C16" s="87"/>
      <c r="D16" s="87"/>
      <c r="E16" s="87"/>
      <c r="F16" s="87"/>
      <c r="G16" s="87"/>
      <c r="H16" s="8"/>
      <c r="I16" s="76"/>
      <c r="J16" s="77"/>
      <c r="K16" s="85"/>
      <c r="L16" s="86"/>
      <c r="M16" s="8"/>
      <c r="N16" s="1" t="s">
        <v>34</v>
      </c>
      <c r="O16" s="1" t="s">
        <v>35</v>
      </c>
      <c r="P16" s="1" t="s">
        <v>36</v>
      </c>
    </row>
    <row r="17" spans="1:16" x14ac:dyDescent="0.3">
      <c r="A17" s="1" t="s">
        <v>37</v>
      </c>
      <c r="B17" s="1" t="s">
        <v>20</v>
      </c>
      <c r="C17" s="1" t="s">
        <v>21</v>
      </c>
      <c r="D17" s="1" t="s">
        <v>27</v>
      </c>
      <c r="E17" s="1" t="s">
        <v>38</v>
      </c>
      <c r="F17" s="53" t="s">
        <v>39</v>
      </c>
      <c r="G17" s="54"/>
      <c r="H17" s="8"/>
      <c r="I17" s="24"/>
      <c r="J17" s="24"/>
      <c r="K17" s="24"/>
      <c r="L17" s="24"/>
      <c r="M17" s="35"/>
      <c r="N17" s="28">
        <f>(($N$14-$D$18)/$O$14)*(1/I4)</f>
        <v>853.24232081911282</v>
      </c>
      <c r="O17" s="28">
        <f>(($N$14-$D$18)/$O$14)*(1/L4)</f>
        <v>1275.5102040816328</v>
      </c>
      <c r="P17" s="28">
        <f>(($N$14-$D$18)/$O$14)*(1/K4)</f>
        <v>511.24744376278119</v>
      </c>
    </row>
    <row r="18" spans="1:16" x14ac:dyDescent="0.3">
      <c r="A18" s="1">
        <v>0</v>
      </c>
      <c r="B18" s="78">
        <v>0.01</v>
      </c>
      <c r="C18" s="81">
        <v>100</v>
      </c>
      <c r="D18" s="36">
        <v>10</v>
      </c>
      <c r="E18" s="21">
        <f>(((D18-I5)/I4)*(C35/C18))/7850</f>
        <v>0.43477315710528042</v>
      </c>
      <c r="F18" s="63">
        <f>AVERAGE(E19:E21)</f>
        <v>1.2399871830287186</v>
      </c>
      <c r="G18" s="64"/>
      <c r="H18" s="37"/>
      <c r="I18" s="24"/>
      <c r="J18" s="24"/>
      <c r="M18" s="22"/>
    </row>
    <row r="19" spans="1:16" x14ac:dyDescent="0.3">
      <c r="A19" s="16">
        <v>10</v>
      </c>
      <c r="B19" s="79"/>
      <c r="C19" s="82"/>
      <c r="D19" s="38">
        <v>20</v>
      </c>
      <c r="E19" s="28">
        <f>(((D19-N2)/I4)*(C35/C18))/7850</f>
        <v>0.82606899850003279</v>
      </c>
      <c r="F19" s="65"/>
      <c r="G19" s="66"/>
      <c r="H19" s="37"/>
    </row>
    <row r="20" spans="1:16" x14ac:dyDescent="0.3">
      <c r="A20" s="16">
        <v>20</v>
      </c>
      <c r="B20" s="79"/>
      <c r="C20" s="82"/>
      <c r="D20" s="38">
        <v>30</v>
      </c>
      <c r="E20" s="28">
        <f>(((D20-N3)/I4)*(C35/C18))/7850</f>
        <v>1.2608421556053131</v>
      </c>
      <c r="F20" s="65"/>
      <c r="G20" s="66"/>
      <c r="H20" s="37"/>
      <c r="I20" s="35"/>
      <c r="J20" s="17"/>
      <c r="K20" s="35"/>
      <c r="L20" s="35"/>
    </row>
    <row r="21" spans="1:16" x14ac:dyDescent="0.3">
      <c r="A21" s="1">
        <v>24</v>
      </c>
      <c r="B21" s="80"/>
      <c r="C21" s="83"/>
      <c r="D21" s="36">
        <v>40</v>
      </c>
      <c r="E21" s="21">
        <f>(((D21-N4)/I4)*(C35/C18))/7850</f>
        <v>1.6330503949808095</v>
      </c>
      <c r="F21" s="67"/>
      <c r="G21" s="68"/>
      <c r="H21" s="8"/>
      <c r="I21" s="84" t="s">
        <v>40</v>
      </c>
      <c r="J21" s="84"/>
      <c r="K21" s="84"/>
      <c r="L21" s="84"/>
      <c r="N21" s="1" t="s">
        <v>34</v>
      </c>
      <c r="O21" s="1" t="s">
        <v>35</v>
      </c>
      <c r="P21" s="1" t="s">
        <v>36</v>
      </c>
    </row>
    <row r="22" spans="1:16" x14ac:dyDescent="0.3">
      <c r="A22" s="50"/>
      <c r="B22" s="51"/>
      <c r="C22" s="51"/>
      <c r="D22" s="51"/>
      <c r="E22" s="51"/>
      <c r="F22" s="51"/>
      <c r="G22" s="52"/>
      <c r="I22" s="1" t="s">
        <v>27</v>
      </c>
      <c r="J22" s="1" t="s">
        <v>28</v>
      </c>
      <c r="K22" s="1" t="s">
        <v>41</v>
      </c>
      <c r="L22" s="1" t="s">
        <v>42</v>
      </c>
      <c r="N22" s="28">
        <f>((I23-$D$18)/J23)*(1/$I$4)</f>
        <v>0</v>
      </c>
      <c r="O22" s="28">
        <f>((I23-$D$18)/J23)*(1/$L$4)</f>
        <v>0</v>
      </c>
      <c r="P22" s="28">
        <f>((I23-$D$18)/J23)*(1/$K$4)</f>
        <v>0</v>
      </c>
    </row>
    <row r="23" spans="1:16" x14ac:dyDescent="0.3">
      <c r="A23" s="1" t="s">
        <v>43</v>
      </c>
      <c r="B23" s="1" t="s">
        <v>20</v>
      </c>
      <c r="C23" s="1" t="s">
        <v>21</v>
      </c>
      <c r="D23" s="1" t="s">
        <v>27</v>
      </c>
      <c r="E23" s="1" t="s">
        <v>38</v>
      </c>
      <c r="F23" s="53" t="s">
        <v>39</v>
      </c>
      <c r="G23" s="54"/>
      <c r="H23" s="8"/>
      <c r="I23" s="20">
        <f>D18</f>
        <v>10</v>
      </c>
      <c r="J23" s="34">
        <v>0.1</v>
      </c>
      <c r="K23" s="39">
        <v>1</v>
      </c>
      <c r="L23" s="13">
        <f>(LOG(E12)-LOG(K23))</f>
        <v>2.5331323796458891</v>
      </c>
      <c r="N23" s="28">
        <f>((I24-$D$18)/J24)*(1/$I$4)</f>
        <v>34.129692832764512</v>
      </c>
      <c r="O23" s="28">
        <f>((I24-$D$18)/J24)*(1/$L$4)</f>
        <v>51.020408163265309</v>
      </c>
      <c r="P23" s="28">
        <f>((I24-$D$18)/J24)*(1/$K$4)</f>
        <v>20.449897750511248</v>
      </c>
    </row>
    <row r="24" spans="1:16" x14ac:dyDescent="0.3">
      <c r="A24" s="1">
        <v>0</v>
      </c>
      <c r="B24" s="57">
        <f>B18</f>
        <v>0.01</v>
      </c>
      <c r="C24" s="60">
        <f>C18</f>
        <v>100</v>
      </c>
      <c r="D24" s="27">
        <f>D18</f>
        <v>10</v>
      </c>
      <c r="E24" s="28">
        <f>(((D24-L5)/L4)*(C35/C24))/7850</f>
        <v>0.64994150526452621</v>
      </c>
      <c r="F24" s="63">
        <f>AVERAGE(E25:E27)</f>
        <v>1.8536543093235431</v>
      </c>
      <c r="G24" s="64"/>
      <c r="H24" s="37"/>
      <c r="I24" s="20">
        <f>D19</f>
        <v>20</v>
      </c>
      <c r="J24" s="34">
        <v>10</v>
      </c>
      <c r="K24" s="39">
        <f>AVERAGE(N23,O23,P23)</f>
        <v>35.199999582180361</v>
      </c>
      <c r="L24" s="13">
        <f>(LOG(E13)-LOG(K24))</f>
        <v>1.2876197169867616</v>
      </c>
      <c r="N24" s="28">
        <f>((I25-$D$18)/J25)*(1/$I$4)</f>
        <v>34.129692832764512</v>
      </c>
      <c r="O24" s="28">
        <f>((I25-$D$18)/J25)*(1/$L$4)</f>
        <v>51.020408163265309</v>
      </c>
      <c r="P24" s="28">
        <f>((I25-$D$18)/J25)*(1/$K$4)</f>
        <v>20.449897750511248</v>
      </c>
    </row>
    <row r="25" spans="1:16" x14ac:dyDescent="0.3">
      <c r="A25" s="1">
        <v>10</v>
      </c>
      <c r="B25" s="58"/>
      <c r="C25" s="61"/>
      <c r="D25" s="27">
        <f>D19</f>
        <v>20</v>
      </c>
      <c r="E25" s="28">
        <f>(((D25-N2)/L4)*(C35/C24))/7850</f>
        <v>1.2348888600025998</v>
      </c>
      <c r="F25" s="65"/>
      <c r="G25" s="66"/>
      <c r="H25" s="37"/>
      <c r="I25" s="20">
        <f>D20</f>
        <v>30</v>
      </c>
      <c r="J25" s="34">
        <v>20</v>
      </c>
      <c r="K25" s="39">
        <f>AVERAGE(N24,O24,P24)</f>
        <v>35.199999582180361</v>
      </c>
      <c r="L25" s="13">
        <f>(LOG(E14)-LOG(K25))</f>
        <v>1.4637109760424434</v>
      </c>
      <c r="N25" s="28">
        <f>((I26-$D$18)/J26)*(1/$I$4)</f>
        <v>42.662116040955638</v>
      </c>
      <c r="O25" s="28">
        <f>((I26-$D$18)/J26)*(1/$L$4)</f>
        <v>63.775510204081634</v>
      </c>
      <c r="P25" s="28">
        <f>((I26-$D$18)/J26)*(1/$K$4)</f>
        <v>25.562372188139058</v>
      </c>
    </row>
    <row r="26" spans="1:16" x14ac:dyDescent="0.3">
      <c r="A26" s="1">
        <v>20</v>
      </c>
      <c r="B26" s="58"/>
      <c r="C26" s="61"/>
      <c r="D26" s="20">
        <f>D20</f>
        <v>30</v>
      </c>
      <c r="E26" s="21">
        <f>(((D26-N3)/L4)*(C35/C24))/7850</f>
        <v>1.8848303652671261</v>
      </c>
      <c r="F26" s="65"/>
      <c r="G26" s="66"/>
      <c r="H26" s="37"/>
      <c r="I26" s="20">
        <f>D21</f>
        <v>40</v>
      </c>
      <c r="J26" s="34">
        <v>24</v>
      </c>
      <c r="K26" s="39">
        <f>AVERAGE(N25,O25,P25)</f>
        <v>43.999999477725446</v>
      </c>
      <c r="L26" s="13">
        <f>(LOG(E15)-LOG(K26))</f>
        <v>1.4917396996426868</v>
      </c>
    </row>
    <row r="27" spans="1:16" x14ac:dyDescent="0.3">
      <c r="A27" s="1">
        <v>24</v>
      </c>
      <c r="B27" s="59"/>
      <c r="C27" s="62"/>
      <c r="D27" s="20">
        <f>D21</f>
        <v>40</v>
      </c>
      <c r="E27" s="21">
        <f>(((D27-N4)/L4)*(C35/C24))/7850</f>
        <v>2.4412437027009033</v>
      </c>
      <c r="F27" s="67"/>
      <c r="G27" s="68"/>
      <c r="H27" s="37"/>
      <c r="N27" s="1" t="s">
        <v>44</v>
      </c>
      <c r="O27" s="1" t="s">
        <v>45</v>
      </c>
    </row>
    <row r="28" spans="1:16" x14ac:dyDescent="0.3">
      <c r="A28" s="73"/>
      <c r="B28" s="51"/>
      <c r="C28" s="51"/>
      <c r="D28" s="51"/>
      <c r="E28" s="51"/>
      <c r="F28" s="51"/>
      <c r="G28" s="52"/>
      <c r="H28" s="8"/>
      <c r="I28" s="71" t="s">
        <v>46</v>
      </c>
      <c r="J28" s="72"/>
      <c r="K28" s="55">
        <f>AVERAGE(L23:L26)</f>
        <v>1.6940506930794452</v>
      </c>
      <c r="L28" s="56"/>
      <c r="N28" s="22">
        <f t="shared" ref="N28:N33" si="1">$K$15/O28</f>
        <v>127.88731659084324</v>
      </c>
      <c r="O28" s="40">
        <v>1</v>
      </c>
    </row>
    <row r="29" spans="1:16" x14ac:dyDescent="0.3">
      <c r="A29" s="16" t="s">
        <v>47</v>
      </c>
      <c r="B29" s="16" t="s">
        <v>20</v>
      </c>
      <c r="C29" s="16" t="s">
        <v>21</v>
      </c>
      <c r="D29" s="16" t="s">
        <v>27</v>
      </c>
      <c r="E29" s="16" t="s">
        <v>38</v>
      </c>
      <c r="F29" s="53" t="s">
        <v>39</v>
      </c>
      <c r="G29" s="54"/>
      <c r="H29" s="8"/>
      <c r="N29" s="22">
        <f t="shared" si="1"/>
        <v>12.788731659084323</v>
      </c>
      <c r="O29" s="40">
        <v>10</v>
      </c>
    </row>
    <row r="30" spans="1:16" x14ac:dyDescent="0.3">
      <c r="A30" s="1">
        <v>0</v>
      </c>
      <c r="B30" s="57">
        <f>B18</f>
        <v>0.01</v>
      </c>
      <c r="C30" s="60">
        <f>C18</f>
        <v>100</v>
      </c>
      <c r="D30" s="20">
        <f>D18</f>
        <v>10</v>
      </c>
      <c r="E30" s="21">
        <f>(((D30-K5)/K4)*(C35/C30))/7850</f>
        <v>0.26050825159886942</v>
      </c>
      <c r="F30" s="63">
        <f>AVERAGE(E31:E33)</f>
        <v>0.7429780053730356</v>
      </c>
      <c r="G30" s="64"/>
      <c r="H30" s="37"/>
      <c r="I30" s="69" t="s">
        <v>48</v>
      </c>
      <c r="J30" s="70">
        <f>(J15/POWER(10,K28))</f>
        <v>2.5868829698577569</v>
      </c>
      <c r="N30" s="22">
        <f t="shared" si="1"/>
        <v>1.2788731659084325</v>
      </c>
      <c r="O30" s="40">
        <v>100</v>
      </c>
    </row>
    <row r="31" spans="1:16" x14ac:dyDescent="0.3">
      <c r="A31" s="1">
        <v>10</v>
      </c>
      <c r="B31" s="58"/>
      <c r="C31" s="61"/>
      <c r="D31" s="20">
        <f>D19</f>
        <v>20</v>
      </c>
      <c r="E31" s="21">
        <f>(((D31-N2)/K4)*(C35/C30))/7850</f>
        <v>0.49496567803785185</v>
      </c>
      <c r="F31" s="65"/>
      <c r="G31" s="66"/>
      <c r="H31" s="37"/>
      <c r="I31" s="69"/>
      <c r="J31" s="70"/>
      <c r="N31" s="22">
        <f t="shared" si="1"/>
        <v>0.12788731659084324</v>
      </c>
      <c r="O31" s="40">
        <v>1000</v>
      </c>
    </row>
    <row r="32" spans="1:16" x14ac:dyDescent="0.3">
      <c r="A32" s="1">
        <v>20</v>
      </c>
      <c r="B32" s="58"/>
      <c r="C32" s="61"/>
      <c r="D32" s="20">
        <f>D20</f>
        <v>30</v>
      </c>
      <c r="E32" s="21">
        <f>(((D32-N3)/K4)*(C35/C30))/7850</f>
        <v>0.75547392963672122</v>
      </c>
      <c r="F32" s="65"/>
      <c r="G32" s="66"/>
      <c r="H32" s="37"/>
      <c r="N32" s="22">
        <f t="shared" si="1"/>
        <v>1.2788731659084325E-2</v>
      </c>
      <c r="O32" s="41">
        <v>10000</v>
      </c>
    </row>
    <row r="33" spans="1:15" x14ac:dyDescent="0.3">
      <c r="A33" s="1">
        <v>24</v>
      </c>
      <c r="B33" s="59"/>
      <c r="C33" s="62"/>
      <c r="D33" s="20">
        <f>D21</f>
        <v>40</v>
      </c>
      <c r="E33" s="21">
        <f>(((D33-N4)/K4)*(C35/C30))/7850</f>
        <v>0.97849440844453395</v>
      </c>
      <c r="F33" s="67"/>
      <c r="G33" s="68"/>
      <c r="H33" s="37"/>
      <c r="N33" s="22">
        <f t="shared" si="1"/>
        <v>1.2788731659084324E-3</v>
      </c>
      <c r="O33" s="41">
        <v>100000</v>
      </c>
    </row>
    <row r="34" spans="1:15" x14ac:dyDescent="0.3">
      <c r="A34" s="50"/>
      <c r="B34" s="51"/>
      <c r="C34" s="51"/>
      <c r="D34" s="51"/>
      <c r="E34" s="51"/>
      <c r="F34" s="51"/>
      <c r="G34" s="52"/>
      <c r="H34" s="8"/>
    </row>
    <row r="35" spans="1:15" x14ac:dyDescent="0.3">
      <c r="A35" s="53" t="s">
        <v>49</v>
      </c>
      <c r="B35" s="54"/>
      <c r="C35" s="42">
        <v>1000</v>
      </c>
      <c r="D35" s="8"/>
      <c r="E35" s="8"/>
      <c r="F35" s="8"/>
    </row>
    <row r="36" spans="1:15" x14ac:dyDescent="0.3">
      <c r="A36" s="43"/>
      <c r="B36" s="44"/>
      <c r="C36" s="8"/>
      <c r="D36" s="8"/>
      <c r="E36" s="8"/>
      <c r="F36" s="8"/>
    </row>
    <row r="37" spans="1:15" x14ac:dyDescent="0.3">
      <c r="A37" s="45" t="s">
        <v>50</v>
      </c>
      <c r="B37" s="11" t="s">
        <v>4</v>
      </c>
      <c r="C37" t="s">
        <v>51</v>
      </c>
      <c r="D37" s="46"/>
      <c r="E37" s="47"/>
      <c r="F37" s="25"/>
    </row>
    <row r="38" spans="1:15" x14ac:dyDescent="0.3">
      <c r="A38" s="45" t="s">
        <v>52</v>
      </c>
      <c r="B38" s="48">
        <f>(D18*0.1)/20000</f>
        <v>5.0000000000000002E-5</v>
      </c>
      <c r="D38" s="46"/>
      <c r="E38" s="47"/>
      <c r="F38" s="25"/>
    </row>
    <row r="39" spans="1:15" x14ac:dyDescent="0.3">
      <c r="A39" s="5" t="s">
        <v>53</v>
      </c>
      <c r="B39" s="48">
        <f>(D19*0.1)/20000</f>
        <v>1E-4</v>
      </c>
      <c r="D39" s="8" t="s">
        <v>54</v>
      </c>
      <c r="E39" s="47"/>
      <c r="F39" s="46"/>
      <c r="G39" s="49"/>
    </row>
    <row r="40" spans="1:15" x14ac:dyDescent="0.3">
      <c r="A40" s="5" t="s">
        <v>55</v>
      </c>
      <c r="B40" s="48">
        <f>(D20*0.1)/20000</f>
        <v>1.4999999999999999E-4</v>
      </c>
      <c r="E40" s="47"/>
      <c r="F40" s="25"/>
    </row>
    <row r="41" spans="1:15" x14ac:dyDescent="0.3">
      <c r="A41" s="5" t="s">
        <v>56</v>
      </c>
      <c r="B41" s="48">
        <f>(D21*0.1)/20000</f>
        <v>2.0000000000000001E-4</v>
      </c>
    </row>
  </sheetData>
  <mergeCells count="44">
    <mergeCell ref="N12:P12"/>
    <mergeCell ref="F13:G13"/>
    <mergeCell ref="E6:F6"/>
    <mergeCell ref="A1:C1"/>
    <mergeCell ref="E2:F2"/>
    <mergeCell ref="E3:F3"/>
    <mergeCell ref="E4:F4"/>
    <mergeCell ref="E5:F5"/>
    <mergeCell ref="E7:F7"/>
    <mergeCell ref="E8:F8"/>
    <mergeCell ref="E9:F9"/>
    <mergeCell ref="L9:P9"/>
    <mergeCell ref="F11:G11"/>
    <mergeCell ref="A22:G22"/>
    <mergeCell ref="F14:G14"/>
    <mergeCell ref="F15:G15"/>
    <mergeCell ref="I15:I16"/>
    <mergeCell ref="J15:J16"/>
    <mergeCell ref="F17:G17"/>
    <mergeCell ref="B18:B21"/>
    <mergeCell ref="C18:C21"/>
    <mergeCell ref="F18:G21"/>
    <mergeCell ref="I21:L21"/>
    <mergeCell ref="K15:K16"/>
    <mergeCell ref="L15:L16"/>
    <mergeCell ref="A16:G16"/>
    <mergeCell ref="B12:B15"/>
    <mergeCell ref="C12:C15"/>
    <mergeCell ref="F12:G12"/>
    <mergeCell ref="F23:G23"/>
    <mergeCell ref="B24:B27"/>
    <mergeCell ref="C24:C27"/>
    <mergeCell ref="F24:G27"/>
    <mergeCell ref="A28:G28"/>
    <mergeCell ref="A34:G34"/>
    <mergeCell ref="A35:B35"/>
    <mergeCell ref="K28:L28"/>
    <mergeCell ref="F29:G29"/>
    <mergeCell ref="B30:B33"/>
    <mergeCell ref="C30:C33"/>
    <mergeCell ref="F30:G33"/>
    <mergeCell ref="I30:I31"/>
    <mergeCell ref="J30:J31"/>
    <mergeCell ref="I28:J28"/>
  </mergeCells>
  <conditionalFormatting sqref="I15:I1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DilutionCoeff_B18</vt:lpstr>
      <vt:lpstr>DilutionDenom_C18</vt:lpstr>
      <vt:lpstr>Exponent_P10</vt:lpstr>
      <vt:lpstr>FillWeight_g_J11</vt:lpstr>
      <vt:lpstr>Offset_P10</vt:lpstr>
      <vt:lpstr>Output</vt:lpstr>
      <vt:lpstr>Output_Adjusted_CFU_per_g</vt:lpstr>
      <vt:lpstr>Output_CFU_per_mL</vt:lpstr>
      <vt:lpstr>Output_Sample_CFU_per_g</vt:lpstr>
      <vt:lpstr>RequiredSpecCoeff_C35</vt:lpstr>
      <vt:lpstr>TOU_Active_1</vt:lpstr>
      <vt:lpstr>TOU_Active_2</vt:lpstr>
      <vt:lpstr>TOU_Active_3</vt:lpstr>
      <vt:lpstr>TOU_Active_4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Gardner</dc:creator>
  <cp:lastModifiedBy>Matthew Gardner</cp:lastModifiedBy>
  <dcterms:created xsi:type="dcterms:W3CDTF">2025-08-08T14:36:56Z</dcterms:created>
  <dcterms:modified xsi:type="dcterms:W3CDTF">2025-08-22T20:52:11Z</dcterms:modified>
</cp:coreProperties>
</file>