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activeTab="2"/>
  </bookViews>
  <sheets>
    <sheet name="version1" sheetId="1" r:id="rId1"/>
    <sheet name="version2" sheetId="2" r:id="rId2"/>
    <sheet name="version3" sheetId="3" r:id="rId3"/>
    <sheet name="MR_analysis" sheetId="6" r:id="rId4"/>
    <sheet name="1600" sheetId="5" r:id="rId5"/>
    <sheet name="2666" sheetId="4" r:id="rId6"/>
  </sheets>
  <calcPr calcId="152511"/>
</workbook>
</file>

<file path=xl/calcChain.xml><?xml version="1.0" encoding="utf-8"?>
<calcChain xmlns="http://schemas.openxmlformats.org/spreadsheetml/2006/main">
  <c r="C8" i="6" l="1"/>
  <c r="C21" i="6" l="1"/>
  <c r="E21" i="6" s="1"/>
  <c r="C9" i="6"/>
  <c r="C10" i="6" s="1"/>
  <c r="C13" i="6"/>
  <c r="D13" i="6" s="1"/>
  <c r="C11" i="6"/>
  <c r="D11" i="6" s="1"/>
  <c r="C12" i="6"/>
  <c r="E12" i="6" s="1"/>
  <c r="C14" i="6"/>
  <c r="E14" i="6" s="1"/>
  <c r="C15" i="6"/>
  <c r="E15" i="6" s="1"/>
  <c r="C17" i="6"/>
  <c r="D17" i="6" s="1"/>
  <c r="C18" i="6"/>
  <c r="E18" i="6" s="1"/>
  <c r="C19" i="6"/>
  <c r="E19" i="6" s="1"/>
  <c r="C20" i="6"/>
  <c r="E20" i="6" s="1"/>
  <c r="C22" i="6"/>
  <c r="E22" i="6" s="1"/>
  <c r="C23" i="6"/>
  <c r="E23" i="6" s="1"/>
  <c r="C24" i="6"/>
  <c r="E24" i="6" s="1"/>
  <c r="C26" i="6"/>
  <c r="E26" i="6" s="1"/>
  <c r="C27" i="6"/>
  <c r="D27" i="6" s="1"/>
  <c r="C28" i="6"/>
  <c r="E28" i="6" s="1"/>
  <c r="C29" i="6"/>
  <c r="D29" i="6" s="1"/>
  <c r="C31" i="6"/>
  <c r="C32" i="6"/>
  <c r="E32" i="6" s="1"/>
  <c r="C33" i="6"/>
  <c r="E33" i="6" s="1"/>
  <c r="C34" i="6"/>
  <c r="E34" i="6" s="1"/>
  <c r="C35" i="6"/>
  <c r="C36" i="6"/>
  <c r="D36" i="6" s="1"/>
  <c r="C37" i="6"/>
  <c r="C38" i="6"/>
  <c r="C40" i="6"/>
  <c r="D40" i="6" s="1"/>
  <c r="C41" i="6"/>
  <c r="E41" i="6" s="1"/>
  <c r="C42" i="6"/>
  <c r="E42" i="6" s="1"/>
  <c r="C43" i="6"/>
  <c r="E43" i="6" s="1"/>
  <c r="C44" i="6"/>
  <c r="C45" i="6"/>
  <c r="D45" i="6" s="1"/>
  <c r="C46" i="6"/>
  <c r="D46" i="6" s="1"/>
  <c r="C47" i="6"/>
  <c r="E47" i="6" s="1"/>
  <c r="C48" i="6"/>
  <c r="E48" i="6" s="1"/>
  <c r="C49" i="6"/>
  <c r="E49" i="6" s="1"/>
  <c r="C50" i="6"/>
  <c r="E50" i="6" s="1"/>
  <c r="C52" i="6"/>
  <c r="E52" i="6" s="1"/>
  <c r="C53" i="6"/>
  <c r="D53" i="6" s="1"/>
  <c r="C54" i="6"/>
  <c r="D54" i="6" s="1"/>
  <c r="C55" i="6"/>
  <c r="C56" i="6"/>
  <c r="E56" i="6" s="1"/>
  <c r="C57" i="6"/>
  <c r="C58" i="6"/>
  <c r="E58" i="6" s="1"/>
  <c r="C59" i="6"/>
  <c r="E59" i="6" s="1"/>
  <c r="C60" i="6"/>
  <c r="E60" i="6" s="1"/>
  <c r="C62" i="6"/>
  <c r="D62" i="6" s="1"/>
  <c r="C63" i="6"/>
  <c r="D63" i="6" s="1"/>
  <c r="C64" i="6"/>
  <c r="E64" i="6" s="1"/>
  <c r="C65" i="6"/>
  <c r="D65" i="6" s="1"/>
  <c r="E17" i="6"/>
  <c r="E31" i="6"/>
  <c r="E35" i="6"/>
  <c r="E36" i="6"/>
  <c r="E37" i="6"/>
  <c r="E38" i="6"/>
  <c r="E44" i="6"/>
  <c r="E45" i="6"/>
  <c r="E55" i="6"/>
  <c r="E57" i="6"/>
  <c r="D58" i="6"/>
  <c r="D57" i="6"/>
  <c r="D55" i="6"/>
  <c r="D44" i="6"/>
  <c r="D41" i="6"/>
  <c r="D38" i="6"/>
  <c r="D37" i="6"/>
  <c r="D35" i="6"/>
  <c r="D32" i="6"/>
  <c r="D31" i="6"/>
  <c r="D9" i="6"/>
  <c r="D12" i="6"/>
  <c r="J2" i="6"/>
  <c r="J4" i="6"/>
  <c r="J6" i="6"/>
  <c r="J7" i="6"/>
  <c r="E54" i="6" l="1"/>
  <c r="E53" i="6"/>
  <c r="D22" i="6"/>
  <c r="D19" i="6"/>
  <c r="D64" i="6"/>
  <c r="E63" i="6"/>
  <c r="E62" i="6"/>
  <c r="E65" i="6"/>
  <c r="D56" i="6"/>
  <c r="E46" i="6"/>
  <c r="E40" i="6"/>
  <c r="D48" i="6"/>
  <c r="D49" i="6"/>
  <c r="D47" i="6"/>
  <c r="D28" i="6"/>
  <c r="D26" i="6"/>
  <c r="E29" i="6"/>
  <c r="E27" i="6"/>
  <c r="D20" i="6"/>
  <c r="D18" i="6"/>
  <c r="E11" i="6"/>
  <c r="E9" i="6"/>
  <c r="D21" i="6"/>
  <c r="D42" i="6"/>
  <c r="D14" i="6"/>
  <c r="D34" i="6"/>
  <c r="D52" i="6"/>
  <c r="D60" i="6"/>
  <c r="D43" i="6"/>
  <c r="D24" i="6"/>
  <c r="D15" i="6"/>
  <c r="D23" i="6"/>
  <c r="D50" i="6"/>
  <c r="D59" i="6"/>
  <c r="D33" i="6"/>
  <c r="E13" i="6"/>
  <c r="D10" i="6" l="1"/>
  <c r="E10" i="6"/>
  <c r="D8" i="6" l="1"/>
  <c r="E8" i="6"/>
  <c r="J31" i="5" l="1"/>
  <c r="C49" i="5" s="1"/>
  <c r="J30" i="5"/>
  <c r="C48" i="5" s="1"/>
  <c r="D48" i="5" s="1"/>
  <c r="D76" i="5"/>
  <c r="D75" i="5"/>
  <c r="D73" i="5"/>
  <c r="D72" i="5"/>
  <c r="D71" i="5"/>
  <c r="D70" i="5"/>
  <c r="D68" i="5"/>
  <c r="D67" i="5"/>
  <c r="D66" i="5"/>
  <c r="D64" i="5"/>
  <c r="D62" i="5"/>
  <c r="M61" i="5"/>
  <c r="D61" i="5"/>
  <c r="M60" i="5"/>
  <c r="D60" i="5"/>
  <c r="M59" i="5"/>
  <c r="D57" i="5"/>
  <c r="L56" i="5"/>
  <c r="M56" i="5" s="1"/>
  <c r="M55" i="5"/>
  <c r="M54" i="5"/>
  <c r="M53" i="5"/>
  <c r="M52" i="5"/>
  <c r="M51" i="5"/>
  <c r="M50" i="5"/>
  <c r="L49" i="5"/>
  <c r="M49" i="5" s="1"/>
  <c r="M48" i="5"/>
  <c r="L48" i="5"/>
  <c r="M46" i="5"/>
  <c r="M45" i="5"/>
  <c r="M44" i="5"/>
  <c r="M43" i="5"/>
  <c r="M42" i="5"/>
  <c r="C42" i="5"/>
  <c r="D42" i="5" s="1"/>
  <c r="M41" i="5"/>
  <c r="C41" i="5"/>
  <c r="D41" i="5" s="1"/>
  <c r="M40" i="5"/>
  <c r="M39" i="5"/>
  <c r="L38" i="5"/>
  <c r="M38" i="5" s="1"/>
  <c r="L37" i="5"/>
  <c r="M37" i="5" s="1"/>
  <c r="M36" i="5"/>
  <c r="J35" i="5"/>
  <c r="M34" i="5"/>
  <c r="J34" i="5"/>
  <c r="M33" i="5"/>
  <c r="M32" i="5"/>
  <c r="M31" i="5"/>
  <c r="D31" i="5"/>
  <c r="M30" i="5"/>
  <c r="D30" i="5"/>
  <c r="M29" i="5"/>
  <c r="D29" i="5"/>
  <c r="L28" i="5"/>
  <c r="S33" i="5" s="1"/>
  <c r="M27" i="5"/>
  <c r="J26" i="5"/>
  <c r="J24" i="5" s="1"/>
  <c r="C38" i="5" s="1"/>
  <c r="D38" i="5" s="1"/>
  <c r="J25" i="5"/>
  <c r="J32" i="5" s="1"/>
  <c r="C51" i="5" s="1"/>
  <c r="D51" i="5" s="1"/>
  <c r="M24" i="5"/>
  <c r="M23" i="5"/>
  <c r="J23" i="5"/>
  <c r="M22" i="5"/>
  <c r="J22" i="5"/>
  <c r="M20" i="5"/>
  <c r="S19" i="5"/>
  <c r="M19" i="5"/>
  <c r="S18" i="5"/>
  <c r="L18" i="5"/>
  <c r="S31" i="5" s="1"/>
  <c r="S17" i="5"/>
  <c r="M17" i="5"/>
  <c r="S16" i="5"/>
  <c r="M16" i="5"/>
  <c r="J16" i="5"/>
  <c r="L58" i="5" s="1"/>
  <c r="C16" i="5"/>
  <c r="D16" i="5" s="1"/>
  <c r="S15" i="5"/>
  <c r="M15" i="5"/>
  <c r="J15" i="5"/>
  <c r="D15" i="5"/>
  <c r="M14" i="5"/>
  <c r="M13" i="5"/>
  <c r="M11" i="5"/>
  <c r="M10" i="5"/>
  <c r="J10" i="5"/>
  <c r="S8" i="5"/>
  <c r="M8" i="5"/>
  <c r="L7" i="5"/>
  <c r="M7" i="5" s="1"/>
  <c r="J7" i="5"/>
  <c r="J6" i="5"/>
  <c r="F6" i="5"/>
  <c r="C3" i="5" s="1"/>
  <c r="D3" i="5" s="1"/>
  <c r="F5" i="5"/>
  <c r="J4" i="5"/>
  <c r="L9" i="5" s="1"/>
  <c r="M3" i="5"/>
  <c r="J3" i="5"/>
  <c r="L25" i="5" s="1"/>
  <c r="O2" i="5"/>
  <c r="J8" i="5" s="1"/>
  <c r="C6" i="5" s="1"/>
  <c r="D6" i="5" s="1"/>
  <c r="L2" i="5"/>
  <c r="M2" i="5" s="1"/>
  <c r="L1" i="5"/>
  <c r="M1" i="5" s="1"/>
  <c r="J1" i="5"/>
  <c r="C22" i="5" l="1"/>
  <c r="F4" i="5"/>
  <c r="C2" i="5" s="1"/>
  <c r="D2" i="5" s="1"/>
  <c r="C37" i="5"/>
  <c r="D37" i="5" s="1"/>
  <c r="J18" i="5"/>
  <c r="C24" i="5" s="1"/>
  <c r="J11" i="5"/>
  <c r="C8" i="5" s="1"/>
  <c r="J36" i="5"/>
  <c r="C53" i="5" s="1"/>
  <c r="D53" i="5" s="1"/>
  <c r="S35" i="5"/>
  <c r="C34" i="5"/>
  <c r="D24" i="5"/>
  <c r="S32" i="5"/>
  <c r="M25" i="5"/>
  <c r="D49" i="5"/>
  <c r="M9" i="5"/>
  <c r="M58" i="5"/>
  <c r="S36" i="5"/>
  <c r="D8" i="5"/>
  <c r="J19" i="5"/>
  <c r="C25" i="5" s="1"/>
  <c r="F7" i="5"/>
  <c r="J14" i="5"/>
  <c r="M28" i="5"/>
  <c r="S34" i="5"/>
  <c r="C39" i="5"/>
  <c r="J33" i="5"/>
  <c r="J2" i="5"/>
  <c r="F1" i="5" s="1"/>
  <c r="J9" i="5"/>
  <c r="J12" i="5"/>
  <c r="C20" i="5"/>
  <c r="D20" i="5" s="1"/>
  <c r="D22" i="5"/>
  <c r="M18" i="5"/>
  <c r="J29" i="5"/>
  <c r="C4" i="5"/>
  <c r="J20" i="5"/>
  <c r="C19" i="5"/>
  <c r="D19" i="5" s="1"/>
  <c r="J40" i="5"/>
  <c r="C58" i="5" s="1"/>
  <c r="C52" i="5"/>
  <c r="D52" i="5" s="1"/>
  <c r="J28" i="5"/>
  <c r="C43" i="5" s="1"/>
  <c r="D43" i="5" s="1"/>
  <c r="J17" i="5"/>
  <c r="C21" i="5" s="1"/>
  <c r="D21" i="5" s="1"/>
  <c r="C76" i="4"/>
  <c r="C75" i="4"/>
  <c r="C73" i="4"/>
  <c r="C72" i="4"/>
  <c r="C71" i="4"/>
  <c r="C70" i="4"/>
  <c r="C68" i="4"/>
  <c r="C67" i="4"/>
  <c r="C66" i="4"/>
  <c r="C64" i="4"/>
  <c r="C62" i="4"/>
  <c r="L61" i="4"/>
  <c r="C61" i="4"/>
  <c r="L60" i="4"/>
  <c r="C60" i="4"/>
  <c r="L59" i="4"/>
  <c r="C57" i="4"/>
  <c r="K56" i="4"/>
  <c r="L56" i="4" s="1"/>
  <c r="L55" i="4"/>
  <c r="L54" i="4"/>
  <c r="L53" i="4"/>
  <c r="L52" i="4"/>
  <c r="L51" i="4"/>
  <c r="L50" i="4"/>
  <c r="L49" i="4"/>
  <c r="K49" i="4"/>
  <c r="B49" i="4"/>
  <c r="C49" i="4" s="1"/>
  <c r="K48" i="4"/>
  <c r="L48" i="4" s="1"/>
  <c r="L46" i="4"/>
  <c r="L45" i="4"/>
  <c r="L44" i="4"/>
  <c r="L43" i="4"/>
  <c r="L42" i="4"/>
  <c r="C42" i="4"/>
  <c r="B42" i="4"/>
  <c r="L41" i="4"/>
  <c r="C41" i="4"/>
  <c r="B41" i="4"/>
  <c r="L40" i="4"/>
  <c r="L39" i="4"/>
  <c r="L38" i="4"/>
  <c r="K38" i="4"/>
  <c r="K37" i="4"/>
  <c r="R34" i="4" s="1"/>
  <c r="L36" i="4"/>
  <c r="I35" i="4"/>
  <c r="L34" i="4"/>
  <c r="I34" i="4"/>
  <c r="I36" i="4" s="1"/>
  <c r="B53" i="4" s="1"/>
  <c r="C53" i="4" s="1"/>
  <c r="R33" i="4"/>
  <c r="L33" i="4"/>
  <c r="L32" i="4"/>
  <c r="R31" i="4"/>
  <c r="L31" i="4"/>
  <c r="I31" i="4"/>
  <c r="C31" i="4"/>
  <c r="L30" i="4"/>
  <c r="I30" i="4"/>
  <c r="B48" i="4" s="1"/>
  <c r="C48" i="4" s="1"/>
  <c r="C30" i="4"/>
  <c r="L29" i="4"/>
  <c r="C29" i="4"/>
  <c r="K28" i="4"/>
  <c r="L28" i="4" s="1"/>
  <c r="L27" i="4"/>
  <c r="I26" i="4"/>
  <c r="I24" i="4" s="1"/>
  <c r="B38" i="4" s="1"/>
  <c r="C38" i="4" s="1"/>
  <c r="I25" i="4"/>
  <c r="I32" i="4" s="1"/>
  <c r="B51" i="4" s="1"/>
  <c r="C51" i="4" s="1"/>
  <c r="L24" i="4"/>
  <c r="L23" i="4"/>
  <c r="I23" i="4"/>
  <c r="L22" i="4"/>
  <c r="I22" i="4"/>
  <c r="L20" i="4"/>
  <c r="R19" i="4"/>
  <c r="L19" i="4"/>
  <c r="R18" i="4"/>
  <c r="L18" i="4"/>
  <c r="K18" i="4"/>
  <c r="R17" i="4"/>
  <c r="L17" i="4"/>
  <c r="R16" i="4"/>
  <c r="L16" i="4"/>
  <c r="C16" i="4"/>
  <c r="B16" i="4"/>
  <c r="R15" i="4"/>
  <c r="L15" i="4"/>
  <c r="I15" i="4"/>
  <c r="C15" i="4"/>
  <c r="L14" i="4"/>
  <c r="L13" i="4"/>
  <c r="L11" i="4"/>
  <c r="L10" i="4"/>
  <c r="I10" i="4"/>
  <c r="B22" i="4" s="1"/>
  <c r="R8" i="4"/>
  <c r="L8" i="4"/>
  <c r="L7" i="4"/>
  <c r="K7" i="4"/>
  <c r="I7" i="4"/>
  <c r="I6" i="4"/>
  <c r="E6" i="4" s="1"/>
  <c r="B3" i="4" s="1"/>
  <c r="C3" i="4" s="1"/>
  <c r="E5" i="4"/>
  <c r="B4" i="4" s="1"/>
  <c r="I4" i="4"/>
  <c r="K9" i="4" s="1"/>
  <c r="L3" i="4"/>
  <c r="I3" i="4"/>
  <c r="K25" i="4" s="1"/>
  <c r="L25" i="4" s="1"/>
  <c r="N2" i="4"/>
  <c r="I19" i="4" s="1"/>
  <c r="K2" i="4"/>
  <c r="L2" i="4" s="1"/>
  <c r="K1" i="4"/>
  <c r="L1" i="4" s="1"/>
  <c r="I1" i="4"/>
  <c r="E7" i="4" s="1"/>
  <c r="C76" i="3"/>
  <c r="C75" i="3"/>
  <c r="C73" i="3"/>
  <c r="C72" i="3"/>
  <c r="C71" i="3"/>
  <c r="C70" i="3"/>
  <c r="C68" i="3"/>
  <c r="C67" i="3"/>
  <c r="C66" i="3"/>
  <c r="C64" i="3"/>
  <c r="C62" i="3"/>
  <c r="M61" i="3"/>
  <c r="C61" i="3"/>
  <c r="M60" i="3"/>
  <c r="C60" i="3"/>
  <c r="M59" i="3"/>
  <c r="C57" i="3"/>
  <c r="L56" i="3"/>
  <c r="M56" i="3" s="1"/>
  <c r="M55" i="3"/>
  <c r="M54" i="3"/>
  <c r="M53" i="3"/>
  <c r="M52" i="3"/>
  <c r="M51" i="3"/>
  <c r="M50" i="3"/>
  <c r="M49" i="3"/>
  <c r="L49" i="3"/>
  <c r="L48" i="3"/>
  <c r="M48" i="3" s="1"/>
  <c r="B48" i="3"/>
  <c r="C48" i="3" s="1"/>
  <c r="M46" i="3"/>
  <c r="M45" i="3"/>
  <c r="M44" i="3"/>
  <c r="M43" i="3"/>
  <c r="M42" i="3"/>
  <c r="B42" i="3"/>
  <c r="C42" i="3" s="1"/>
  <c r="M41" i="3"/>
  <c r="C41" i="3"/>
  <c r="B41" i="3"/>
  <c r="M40" i="3"/>
  <c r="M39" i="3"/>
  <c r="B39" i="3"/>
  <c r="C39" i="3" s="1"/>
  <c r="L38" i="3"/>
  <c r="S34" i="3" s="1"/>
  <c r="J5" i="6" s="1"/>
  <c r="L37" i="3"/>
  <c r="M37" i="3" s="1"/>
  <c r="B37" i="3"/>
  <c r="C37" i="3" s="1"/>
  <c r="M36" i="3"/>
  <c r="I35" i="3"/>
  <c r="M34" i="3"/>
  <c r="I34" i="3"/>
  <c r="I36" i="3" s="1"/>
  <c r="B53" i="3" s="1"/>
  <c r="C53" i="3" s="1"/>
  <c r="S33" i="3"/>
  <c r="M33" i="3"/>
  <c r="I33" i="3"/>
  <c r="M32" i="3"/>
  <c r="M31" i="3"/>
  <c r="I31" i="3"/>
  <c r="B49" i="3" s="1"/>
  <c r="C31" i="3"/>
  <c r="M30" i="3"/>
  <c r="I30" i="3"/>
  <c r="C30" i="3"/>
  <c r="M29" i="3"/>
  <c r="I29" i="3"/>
  <c r="C29" i="3"/>
  <c r="M28" i="3"/>
  <c r="L28" i="3"/>
  <c r="I28" i="3"/>
  <c r="B43" i="3" s="1"/>
  <c r="C43" i="3" s="1"/>
  <c r="M27" i="3"/>
  <c r="I26" i="3"/>
  <c r="I25" i="3"/>
  <c r="I32" i="3" s="1"/>
  <c r="B51" i="3" s="1"/>
  <c r="C51" i="3" s="1"/>
  <c r="M24" i="3"/>
  <c r="I24" i="3"/>
  <c r="B38" i="3" s="1"/>
  <c r="C38" i="3" s="1"/>
  <c r="M23" i="3"/>
  <c r="I23" i="3"/>
  <c r="M22" i="3"/>
  <c r="I22" i="3"/>
  <c r="M20" i="3"/>
  <c r="S19" i="3"/>
  <c r="M19" i="3"/>
  <c r="S18" i="3"/>
  <c r="L18" i="3"/>
  <c r="M18" i="3" s="1"/>
  <c r="I18" i="3"/>
  <c r="B24" i="3" s="1"/>
  <c r="S17" i="3"/>
  <c r="M17" i="3"/>
  <c r="I17" i="3"/>
  <c r="B21" i="3" s="1"/>
  <c r="C21" i="3" s="1"/>
  <c r="S16" i="3"/>
  <c r="M16" i="3"/>
  <c r="I16" i="3"/>
  <c r="L58" i="3" s="1"/>
  <c r="C16" i="3"/>
  <c r="B16" i="3"/>
  <c r="S15" i="3"/>
  <c r="M15" i="3"/>
  <c r="I15" i="3"/>
  <c r="C15" i="3"/>
  <c r="M14" i="3"/>
  <c r="I14" i="3"/>
  <c r="M13" i="3"/>
  <c r="I12" i="3"/>
  <c r="M11" i="3"/>
  <c r="M10" i="3"/>
  <c r="I10" i="3"/>
  <c r="B22" i="3" s="1"/>
  <c r="I9" i="3"/>
  <c r="L5" i="3" s="1"/>
  <c r="M5" i="3" s="1"/>
  <c r="S8" i="3"/>
  <c r="M8" i="3"/>
  <c r="I8" i="3"/>
  <c r="L7" i="3"/>
  <c r="M7" i="3" s="1"/>
  <c r="I7" i="3"/>
  <c r="E7" i="3"/>
  <c r="B7" i="3" s="1"/>
  <c r="C7" i="3" s="1"/>
  <c r="I6" i="3"/>
  <c r="E6" i="3"/>
  <c r="B3" i="3" s="1"/>
  <c r="C3" i="3" s="1"/>
  <c r="C6" i="3"/>
  <c r="B6" i="3"/>
  <c r="E5" i="3"/>
  <c r="I11" i="3" s="1"/>
  <c r="B8" i="3" s="1"/>
  <c r="L4" i="3"/>
  <c r="M4" i="3" s="1"/>
  <c r="I4" i="3"/>
  <c r="L9" i="3" s="1"/>
  <c r="E4" i="3"/>
  <c r="M3" i="3"/>
  <c r="I3" i="3"/>
  <c r="L25" i="3" s="1"/>
  <c r="O2" i="3"/>
  <c r="I19" i="3" s="1"/>
  <c r="L2" i="3"/>
  <c r="M2" i="3" s="1"/>
  <c r="B2" i="3"/>
  <c r="C2" i="3" s="1"/>
  <c r="L1" i="3"/>
  <c r="M1" i="3" s="1"/>
  <c r="I1" i="3"/>
  <c r="M38" i="3" l="1"/>
  <c r="C10" i="5"/>
  <c r="D10" i="5" s="1"/>
  <c r="C1" i="5"/>
  <c r="D1" i="5" s="1"/>
  <c r="C13" i="5"/>
  <c r="C27" i="5"/>
  <c r="J21" i="5"/>
  <c r="C26" i="5" s="1"/>
  <c r="D26" i="5" s="1"/>
  <c r="C7" i="5"/>
  <c r="L5" i="5"/>
  <c r="M5" i="5" s="1"/>
  <c r="L6" i="5"/>
  <c r="L4" i="5"/>
  <c r="M4" i="5" s="1"/>
  <c r="C11" i="5"/>
  <c r="D11" i="5" s="1"/>
  <c r="C12" i="5"/>
  <c r="D12" i="5" s="1"/>
  <c r="D39" i="5"/>
  <c r="C36" i="5"/>
  <c r="D36" i="5" s="1"/>
  <c r="S10" i="5"/>
  <c r="S6" i="5"/>
  <c r="C44" i="5"/>
  <c r="S2" i="5"/>
  <c r="D4" i="5"/>
  <c r="C33" i="5"/>
  <c r="D33" i="5" s="1"/>
  <c r="D25" i="5"/>
  <c r="D58" i="5"/>
  <c r="C56" i="5"/>
  <c r="D56" i="5" s="1"/>
  <c r="C47" i="5"/>
  <c r="J38" i="5"/>
  <c r="C54" i="5" s="1"/>
  <c r="C46" i="5"/>
  <c r="D46" i="5" s="1"/>
  <c r="C17" i="5"/>
  <c r="J39" i="5"/>
  <c r="D34" i="5"/>
  <c r="S9" i="5"/>
  <c r="B19" i="4"/>
  <c r="C19" i="4" s="1"/>
  <c r="B37" i="4"/>
  <c r="C37" i="4" s="1"/>
  <c r="L37" i="4"/>
  <c r="B11" i="4"/>
  <c r="C11" i="4" s="1"/>
  <c r="C4" i="4"/>
  <c r="C22" i="4"/>
  <c r="B52" i="4"/>
  <c r="C52" i="4" s="1"/>
  <c r="E4" i="4"/>
  <c r="B2" i="4" s="1"/>
  <c r="C2" i="4" s="1"/>
  <c r="I11" i="4"/>
  <c r="B8" i="4" s="1"/>
  <c r="I14" i="4"/>
  <c r="I16" i="4"/>
  <c r="I18" i="4"/>
  <c r="B24" i="4" s="1"/>
  <c r="I33" i="4"/>
  <c r="B39" i="4"/>
  <c r="I40" i="4"/>
  <c r="B58" i="4" s="1"/>
  <c r="I2" i="4"/>
  <c r="I9" i="4"/>
  <c r="I12" i="4"/>
  <c r="I29" i="4"/>
  <c r="R35" i="4"/>
  <c r="I20" i="4"/>
  <c r="L9" i="4"/>
  <c r="I17" i="4"/>
  <c r="B21" i="4" s="1"/>
  <c r="C21" i="4" s="1"/>
  <c r="I28" i="4"/>
  <c r="B43" i="4" s="1"/>
  <c r="C43" i="4" s="1"/>
  <c r="R32" i="4"/>
  <c r="I8" i="4"/>
  <c r="B6" i="4" s="1"/>
  <c r="C6" i="4" s="1"/>
  <c r="B34" i="3"/>
  <c r="C24" i="3"/>
  <c r="C8" i="3"/>
  <c r="S3" i="3"/>
  <c r="C22" i="3"/>
  <c r="C49" i="3"/>
  <c r="M58" i="3"/>
  <c r="S36" i="3"/>
  <c r="M25" i="3"/>
  <c r="S32" i="3"/>
  <c r="J3" i="6" s="1"/>
  <c r="S30" i="3"/>
  <c r="J1" i="6" s="1"/>
  <c r="M9" i="3"/>
  <c r="S10" i="3"/>
  <c r="B20" i="3"/>
  <c r="C20" i="3" s="1"/>
  <c r="L6" i="3"/>
  <c r="M6" i="3" s="1"/>
  <c r="B11" i="3"/>
  <c r="C11" i="3" s="1"/>
  <c r="S31" i="3"/>
  <c r="B36" i="3"/>
  <c r="C36" i="3" s="1"/>
  <c r="I39" i="3"/>
  <c r="B4" i="3"/>
  <c r="B13" i="3"/>
  <c r="B17" i="3"/>
  <c r="I20" i="3"/>
  <c r="B46" i="3"/>
  <c r="C46" i="3" s="1"/>
  <c r="I2" i="3"/>
  <c r="B44" i="3" s="1"/>
  <c r="S35" i="3"/>
  <c r="B19" i="3"/>
  <c r="C19" i="3" s="1"/>
  <c r="I40" i="3"/>
  <c r="B58" i="3" s="1"/>
  <c r="B52" i="3"/>
  <c r="C52" i="3" s="1"/>
  <c r="I38" i="3"/>
  <c r="B54" i="3" s="1"/>
  <c r="B47" i="3"/>
  <c r="C47" i="3" s="1"/>
  <c r="C76" i="2"/>
  <c r="C75" i="2"/>
  <c r="C73" i="2"/>
  <c r="C72" i="2"/>
  <c r="C71" i="2"/>
  <c r="C70" i="2"/>
  <c r="C68" i="2"/>
  <c r="C67" i="2"/>
  <c r="C66" i="2"/>
  <c r="C64" i="2"/>
  <c r="C62" i="2"/>
  <c r="C61" i="2"/>
  <c r="C60" i="2"/>
  <c r="C57" i="2"/>
  <c r="C49" i="2"/>
  <c r="B49" i="2"/>
  <c r="B42" i="2"/>
  <c r="C42" i="2" s="1"/>
  <c r="B41" i="2"/>
  <c r="C41" i="2" s="1"/>
  <c r="I40" i="2"/>
  <c r="B58" i="2" s="1"/>
  <c r="B38" i="2"/>
  <c r="C38" i="2" s="1"/>
  <c r="B37" i="2"/>
  <c r="C37" i="2" s="1"/>
  <c r="I36" i="2"/>
  <c r="B53" i="2" s="1"/>
  <c r="C53" i="2" s="1"/>
  <c r="I35" i="2"/>
  <c r="I34" i="2"/>
  <c r="I31" i="2"/>
  <c r="C31" i="2"/>
  <c r="I30" i="2"/>
  <c r="B48" i="2" s="1"/>
  <c r="C48" i="2" s="1"/>
  <c r="C30" i="2"/>
  <c r="I29" i="2"/>
  <c r="C29" i="2"/>
  <c r="I26" i="2"/>
  <c r="I25" i="2"/>
  <c r="I33" i="2" s="1"/>
  <c r="B52" i="2" s="1"/>
  <c r="C52" i="2" s="1"/>
  <c r="I24" i="2"/>
  <c r="I23" i="2"/>
  <c r="I22" i="2"/>
  <c r="Q20" i="2"/>
  <c r="Q19" i="2"/>
  <c r="Q18" i="2"/>
  <c r="Q17" i="2"/>
  <c r="I17" i="2"/>
  <c r="B21" i="2" s="1"/>
  <c r="C21" i="2" s="1"/>
  <c r="Q16" i="2"/>
  <c r="B16" i="2"/>
  <c r="C16" i="2" s="1"/>
  <c r="Q15" i="2"/>
  <c r="I15" i="2"/>
  <c r="B19" i="2" s="1"/>
  <c r="C19" i="2" s="1"/>
  <c r="C15" i="2"/>
  <c r="I12" i="2"/>
  <c r="I10" i="2"/>
  <c r="B22" i="2" s="1"/>
  <c r="Q8" i="2"/>
  <c r="I7" i="2"/>
  <c r="I6" i="2"/>
  <c r="E6" i="2"/>
  <c r="B3" i="2" s="1"/>
  <c r="C3" i="2" s="1"/>
  <c r="E5" i="2"/>
  <c r="I11" i="2" s="1"/>
  <c r="B8" i="2" s="1"/>
  <c r="I4" i="2"/>
  <c r="E7" i="2" s="1"/>
  <c r="E4" i="2"/>
  <c r="B2" i="2" s="1"/>
  <c r="C2" i="2" s="1"/>
  <c r="B4" i="2"/>
  <c r="C4" i="2" s="1"/>
  <c r="I3" i="2"/>
  <c r="M2" i="2"/>
  <c r="I28" i="2" s="1"/>
  <c r="B43" i="2" s="1"/>
  <c r="C43" i="2" s="1"/>
  <c r="K2" i="2"/>
  <c r="I2" i="2"/>
  <c r="K1" i="2"/>
  <c r="I1" i="2"/>
  <c r="M6" i="5" l="1"/>
  <c r="S30" i="5"/>
  <c r="D27" i="5"/>
  <c r="S7" i="5"/>
  <c r="S11" i="5"/>
  <c r="D44" i="5"/>
  <c r="S5" i="5"/>
  <c r="D17" i="5"/>
  <c r="D13" i="5"/>
  <c r="S4" i="5"/>
  <c r="D7" i="5"/>
  <c r="S3" i="5"/>
  <c r="D47" i="5"/>
  <c r="S12" i="5"/>
  <c r="S14" i="5"/>
  <c r="S13" i="5"/>
  <c r="D54" i="5"/>
  <c r="I21" i="4"/>
  <c r="B26" i="4" s="1"/>
  <c r="C26" i="4" s="1"/>
  <c r="B27" i="4"/>
  <c r="B34" i="4"/>
  <c r="C24" i="4"/>
  <c r="K58" i="4"/>
  <c r="B20" i="4"/>
  <c r="C20" i="4" s="1"/>
  <c r="B56" i="4"/>
  <c r="C56" i="4" s="1"/>
  <c r="B47" i="4"/>
  <c r="I38" i="4"/>
  <c r="B54" i="4" s="1"/>
  <c r="B46" i="4"/>
  <c r="C46" i="4" s="1"/>
  <c r="I39" i="4"/>
  <c r="B17" i="4"/>
  <c r="B7" i="4"/>
  <c r="C7" i="4" s="1"/>
  <c r="K5" i="4"/>
  <c r="L5" i="4" s="1"/>
  <c r="K6" i="4"/>
  <c r="K4" i="4"/>
  <c r="L4" i="4" s="1"/>
  <c r="C8" i="4"/>
  <c r="B13" i="4"/>
  <c r="E1" i="4"/>
  <c r="C58" i="4"/>
  <c r="B36" i="4"/>
  <c r="C36" i="4" s="1"/>
  <c r="C39" i="4"/>
  <c r="B25" i="4"/>
  <c r="B44" i="4"/>
  <c r="E1" i="3"/>
  <c r="S6" i="3"/>
  <c r="S11" i="3"/>
  <c r="C44" i="3"/>
  <c r="B56" i="3"/>
  <c r="C56" i="3" s="1"/>
  <c r="I21" i="3"/>
  <c r="B26" i="3" s="1"/>
  <c r="C26" i="3" s="1"/>
  <c r="B27" i="3"/>
  <c r="S13" i="3"/>
  <c r="C54" i="3"/>
  <c r="S5" i="3"/>
  <c r="C17" i="3"/>
  <c r="C13" i="3"/>
  <c r="S12" i="3"/>
  <c r="C34" i="3"/>
  <c r="C58" i="3"/>
  <c r="S14" i="3"/>
  <c r="C4" i="3"/>
  <c r="B25" i="3"/>
  <c r="B44" i="2"/>
  <c r="Q11" i="2" s="1"/>
  <c r="C22" i="2"/>
  <c r="B11" i="2"/>
  <c r="C11" i="2" s="1"/>
  <c r="C8" i="2"/>
  <c r="C58" i="2"/>
  <c r="E1" i="2"/>
  <c r="I8" i="2"/>
  <c r="B6" i="2" s="1"/>
  <c r="C6" i="2" s="1"/>
  <c r="B13" i="2"/>
  <c r="I18" i="2"/>
  <c r="B24" i="2" s="1"/>
  <c r="I20" i="2"/>
  <c r="I9" i="2"/>
  <c r="B7" i="2" s="1"/>
  <c r="C7" i="2" s="1"/>
  <c r="I16" i="2"/>
  <c r="B20" i="2" s="1"/>
  <c r="C20" i="2" s="1"/>
  <c r="B39" i="2"/>
  <c r="I14" i="2"/>
  <c r="I32" i="2"/>
  <c r="B51" i="2" s="1"/>
  <c r="C51" i="2" s="1"/>
  <c r="I19" i="2"/>
  <c r="B25" i="2" s="1"/>
  <c r="C76" i="1"/>
  <c r="C75" i="1"/>
  <c r="C73" i="1"/>
  <c r="C72" i="1"/>
  <c r="C71" i="1"/>
  <c r="C70" i="1"/>
  <c r="C68" i="1"/>
  <c r="C67" i="1"/>
  <c r="C66" i="1"/>
  <c r="C64" i="1"/>
  <c r="C62" i="1"/>
  <c r="C61" i="1"/>
  <c r="C60" i="1"/>
  <c r="C57" i="1"/>
  <c r="B48" i="1"/>
  <c r="C48" i="1" s="1"/>
  <c r="C42" i="1"/>
  <c r="B42" i="1"/>
  <c r="C41" i="1"/>
  <c r="B41" i="1"/>
  <c r="B39" i="1"/>
  <c r="B36" i="1" s="1"/>
  <c r="C36" i="1" s="1"/>
  <c r="I35" i="1"/>
  <c r="I34" i="1"/>
  <c r="I36" i="1" s="1"/>
  <c r="B53" i="1" s="1"/>
  <c r="C53" i="1" s="1"/>
  <c r="I31" i="1"/>
  <c r="B49" i="1" s="1"/>
  <c r="C31" i="1"/>
  <c r="I30" i="1"/>
  <c r="C30" i="1"/>
  <c r="C29" i="1"/>
  <c r="I26" i="1"/>
  <c r="I25" i="1"/>
  <c r="I33" i="1" s="1"/>
  <c r="B52" i="1" s="1"/>
  <c r="C52" i="1" s="1"/>
  <c r="I24" i="1"/>
  <c r="B38" i="1" s="1"/>
  <c r="I23" i="1"/>
  <c r="B37" i="1" s="1"/>
  <c r="C37" i="1" s="1"/>
  <c r="I22" i="1"/>
  <c r="B21" i="1"/>
  <c r="C21" i="1" s="1"/>
  <c r="I18" i="1"/>
  <c r="B24" i="1" s="1"/>
  <c r="Q17" i="1"/>
  <c r="I17" i="1"/>
  <c r="Q16" i="1"/>
  <c r="B16" i="1"/>
  <c r="C16" i="1" s="1"/>
  <c r="Q15" i="1"/>
  <c r="I15" i="1"/>
  <c r="C15" i="1"/>
  <c r="I10" i="1"/>
  <c r="B22" i="1" s="1"/>
  <c r="Q8" i="1"/>
  <c r="I7" i="1"/>
  <c r="I6" i="1"/>
  <c r="E6" i="1" s="1"/>
  <c r="B3" i="1" s="1"/>
  <c r="C3" i="1" s="1"/>
  <c r="E5" i="1"/>
  <c r="B4" i="1" s="1"/>
  <c r="I4" i="1"/>
  <c r="I1" i="1" s="1"/>
  <c r="I3" i="1"/>
  <c r="M2" i="1"/>
  <c r="I40" i="1" s="1"/>
  <c r="B58" i="1" s="1"/>
  <c r="K2" i="1"/>
  <c r="K1" i="1"/>
  <c r="I2" i="1" s="1"/>
  <c r="R14" i="4" l="1"/>
  <c r="B10" i="4"/>
  <c r="C10" i="4" s="1"/>
  <c r="B1" i="4"/>
  <c r="B12" i="4"/>
  <c r="C12" i="4" s="1"/>
  <c r="L58" i="4"/>
  <c r="R36" i="4"/>
  <c r="R11" i="4"/>
  <c r="C44" i="4"/>
  <c r="C13" i="4"/>
  <c r="C17" i="4"/>
  <c r="R5" i="4"/>
  <c r="B33" i="4"/>
  <c r="C33" i="4" s="1"/>
  <c r="C25" i="4"/>
  <c r="R3" i="4"/>
  <c r="C34" i="4"/>
  <c r="R9" i="4"/>
  <c r="R10" i="4"/>
  <c r="R6" i="4"/>
  <c r="R13" i="4"/>
  <c r="C54" i="4"/>
  <c r="C27" i="4"/>
  <c r="R7" i="4"/>
  <c r="L6" i="4"/>
  <c r="R30" i="4"/>
  <c r="R12" i="4"/>
  <c r="C47" i="4"/>
  <c r="C27" i="3"/>
  <c r="S7" i="3"/>
  <c r="B33" i="3"/>
  <c r="C25" i="3"/>
  <c r="B10" i="3"/>
  <c r="C10" i="3" s="1"/>
  <c r="B1" i="3"/>
  <c r="B12" i="3"/>
  <c r="C44" i="2"/>
  <c r="B34" i="2"/>
  <c r="C24" i="2"/>
  <c r="C25" i="2"/>
  <c r="B33" i="2"/>
  <c r="C33" i="2" s="1"/>
  <c r="C13" i="2"/>
  <c r="Q3" i="2"/>
  <c r="I21" i="2"/>
  <c r="B26" i="2" s="1"/>
  <c r="C26" i="2" s="1"/>
  <c r="B27" i="2"/>
  <c r="I39" i="2"/>
  <c r="B17" i="2"/>
  <c r="B56" i="2"/>
  <c r="I38" i="2"/>
  <c r="B54" i="2" s="1"/>
  <c r="B46" i="2"/>
  <c r="C46" i="2" s="1"/>
  <c r="B47" i="2"/>
  <c r="C39" i="2"/>
  <c r="B36" i="2"/>
  <c r="C36" i="2" s="1"/>
  <c r="Q10" i="2"/>
  <c r="B1" i="2"/>
  <c r="B10" i="2"/>
  <c r="C10" i="2" s="1"/>
  <c r="B12" i="2"/>
  <c r="C12" i="2" s="1"/>
  <c r="Q6" i="2"/>
  <c r="B19" i="1"/>
  <c r="C19" i="1" s="1"/>
  <c r="E7" i="1"/>
  <c r="E1" i="1"/>
  <c r="C49" i="1"/>
  <c r="C4" i="1"/>
  <c r="Q10" i="1"/>
  <c r="C38" i="1"/>
  <c r="C22" i="1"/>
  <c r="B34" i="1"/>
  <c r="C24" i="1"/>
  <c r="C58" i="1"/>
  <c r="I12" i="1"/>
  <c r="B13" i="1" s="1"/>
  <c r="I20" i="1"/>
  <c r="I28" i="1"/>
  <c r="B43" i="1" s="1"/>
  <c r="C43" i="1" s="1"/>
  <c r="E4" i="1"/>
  <c r="B2" i="1" s="1"/>
  <c r="C2" i="1" s="1"/>
  <c r="I8" i="1"/>
  <c r="B6" i="1" s="1"/>
  <c r="C6" i="1" s="1"/>
  <c r="C39" i="1"/>
  <c r="I9" i="1"/>
  <c r="B7" i="1" s="1"/>
  <c r="C7" i="1" s="1"/>
  <c r="I11" i="1"/>
  <c r="B8" i="1" s="1"/>
  <c r="I16" i="1"/>
  <c r="B20" i="1" s="1"/>
  <c r="C20" i="1" s="1"/>
  <c r="I14" i="1"/>
  <c r="I19" i="1"/>
  <c r="B25" i="1" s="1"/>
  <c r="I29" i="1"/>
  <c r="B44" i="1" s="1"/>
  <c r="I32" i="1"/>
  <c r="B51" i="1" s="1"/>
  <c r="C51" i="1" s="1"/>
  <c r="R4" i="4" l="1"/>
  <c r="C1" i="4"/>
  <c r="R2" i="4"/>
  <c r="C12" i="3"/>
  <c r="S4" i="3"/>
  <c r="C1" i="3"/>
  <c r="S2" i="3"/>
  <c r="C33" i="3"/>
  <c r="S9" i="3"/>
  <c r="C47" i="2"/>
  <c r="Q12" i="2"/>
  <c r="Q4" i="2"/>
  <c r="C54" i="2"/>
  <c r="Q13" i="2"/>
  <c r="C56" i="2"/>
  <c r="Q14" i="2"/>
  <c r="C1" i="2"/>
  <c r="Q2" i="2"/>
  <c r="C17" i="2"/>
  <c r="Q5" i="2"/>
  <c r="Q7" i="2"/>
  <c r="C27" i="2"/>
  <c r="Q9" i="2"/>
  <c r="C34" i="2"/>
  <c r="C44" i="1"/>
  <c r="Q11" i="1"/>
  <c r="C13" i="1"/>
  <c r="C34" i="1"/>
  <c r="Q2" i="1"/>
  <c r="Q6" i="1"/>
  <c r="C25" i="1"/>
  <c r="B33" i="1"/>
  <c r="C33" i="1" s="1"/>
  <c r="I38" i="1"/>
  <c r="B54" i="1" s="1"/>
  <c r="B56" i="1"/>
  <c r="B46" i="1"/>
  <c r="C46" i="1" s="1"/>
  <c r="B17" i="1"/>
  <c r="I39" i="1"/>
  <c r="B47" i="1"/>
  <c r="B27" i="1"/>
  <c r="I21" i="1"/>
  <c r="B26" i="1" s="1"/>
  <c r="C26" i="1" s="1"/>
  <c r="B10" i="1"/>
  <c r="C10" i="1" s="1"/>
  <c r="B1" i="1"/>
  <c r="C1" i="1" s="1"/>
  <c r="B12" i="1"/>
  <c r="C12" i="1" s="1"/>
  <c r="B11" i="1"/>
  <c r="C11" i="1" s="1"/>
  <c r="Q3" i="1"/>
  <c r="C8" i="1"/>
  <c r="C17" i="1" l="1"/>
  <c r="Q5" i="1"/>
  <c r="Q9" i="1"/>
  <c r="C47" i="1"/>
  <c r="Q12" i="1"/>
  <c r="C56" i="1"/>
  <c r="Q14" i="1"/>
  <c r="Q4" i="1"/>
  <c r="Q13" i="1"/>
  <c r="C54" i="1"/>
  <c r="Q7" i="1"/>
  <c r="C27" i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MTs</t>
        </r>
      </text>
    </comment>
    <comment ref="F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L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F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CL-1
2: CL-2</t>
        </r>
      </text>
    </comment>
    <comment ref="H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unit:ns</t>
        </r>
      </text>
    </comment>
    <comment ref="F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1:1; 
1: 1:2.</t>
        </r>
      </text>
    </comment>
    <comment ref="H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unit: us</t>
        </r>
      </text>
    </comment>
    <comment ref="D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F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0.5k;
1: 1k; 
2: 2k</t>
        </r>
      </text>
    </comment>
    <comment ref="H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0~85 </t>
        </r>
      </text>
    </comment>
    <comment ref="F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1x mode;
1: 2x mode;
2: 4x mode;</t>
        </r>
      </text>
    </comment>
    <comment ref="H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85 ~95</t>
        </r>
      </text>
    </comment>
    <comment ref="H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CK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F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1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
</t>
        </r>
      </text>
    </comment>
    <comment ref="H3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3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ps</t>
        </r>
      </text>
    </comment>
    <comment ref="H3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ps</t>
        </r>
      </text>
    </comment>
    <comment ref="H3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3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4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MTs</t>
        </r>
      </text>
    </comment>
    <comment ref="F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L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D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F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F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CL-1
2: CL-2</t>
        </r>
      </text>
    </comment>
    <comment ref="H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unit:ns</t>
        </r>
      </text>
    </comment>
    <comment ref="F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1:1; 
1: 1:2.</t>
        </r>
      </text>
    </comment>
    <comment ref="H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unit: us</t>
        </r>
      </text>
    </comment>
    <comment ref="D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F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0.5k;
1: 1k; 
2: 2k</t>
        </r>
      </text>
    </comment>
    <comment ref="H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0~85 </t>
        </r>
      </text>
    </comment>
    <comment ref="D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1x mode;
1: 2x mode;
2: 4x mode;</t>
        </r>
      </text>
    </comment>
    <comment ref="H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85 ~95</t>
        </r>
      </text>
    </comment>
    <comment ref="H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CK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I1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Jedec : always 15</t>
        </r>
      </text>
    </comment>
    <comment ref="F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1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
</t>
        </r>
      </text>
    </comment>
    <comment ref="H3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3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ps</t>
        </r>
      </text>
    </comment>
    <comment ref="H3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ps</t>
        </r>
      </text>
    </comment>
    <comment ref="H3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3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3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4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MTs</t>
        </r>
      </text>
    </comment>
    <comment ref="F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N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D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CL-1
2: CL-2</t>
        </r>
      </text>
    </comment>
    <comment ref="H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unit:ns</t>
        </r>
      </text>
    </comment>
    <comment ref="F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1:1; 
1: 1:2.</t>
        </r>
      </text>
    </comment>
    <comment ref="H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 us</t>
        </r>
      </text>
    </comment>
    <comment ref="D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0.5k;
1: 1k; 
2: 2k</t>
        </r>
      </text>
    </comment>
    <comment ref="H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0~85 </t>
        </r>
      </text>
    </comment>
    <comment ref="D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1x mode;
1: 2x mode;
2: 4x mode;</t>
        </r>
      </text>
    </comment>
    <comment ref="H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85 ~95</t>
        </r>
      </text>
    </comment>
    <comment ref="D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 = No
1 = Yes</t>
        </r>
      </text>
    </comment>
    <comment ref="H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CK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CAS latency (CL) – Delay in clock cycles from the internal READ command to first data-out
00000 = 9 clocks1
00001 = 10 clocks
00010 = 11 clocks1
00011 = 12 clocks
00100 = 13 clocks1
00101 = 14 clocks
00110 = 15 clocks1
00111 = 16 clocks
01000 = 18 clocks
01001 = 20 clocks
01010 = 22 clocks
01011 = 24 clocks
01100 = 23 clocks1
01101 = 17 clocks1
01110 = 19 clocks1
01111 = 21 clocks 1
10000 = 25 clocks (3DS use only)
10001 = 26 clocks
10010 = 27 clocks (3DS use only)
10011 = 28 clocks
10100 = 29 clocks1
10101 = 30 clocks
10110 = 31 clocks1
10111 = 32 clocks</t>
        </r>
      </text>
    </comment>
    <comment ref="H1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I1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Jedec : always 15</t>
        </r>
      </text>
    </comment>
    <comment ref="K1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Burst type (BT) – Data burst ordering within a READ or WRITE burst access
0 = Nibble sequential
1 = Interleave</t>
        </r>
      </text>
    </comment>
    <comment ref="F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1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00 = BL8 (fixed)
01 = BC4 or BL8 (on-the-fly)
10 = BC4 (fixed)
11 = Reserved</t>
        </r>
      </text>
    </comment>
    <comment ref="F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Data output disable (Qoff) – Output buffer disable
0 = Enabled (normal operation)
1 = Disabled (both ODI and RTT)</t>
        </r>
      </text>
    </comment>
    <comment ref="H1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Termination data strobe (TDQS) – Additional termination pins (x8 configuration only)
0 = TDQS disabled
1 = TDQS enabled</t>
        </r>
      </text>
    </comment>
    <comment ref="H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Nominal ODT (RTT(NOM) – Data bus termination setting
000 = RTT(NOM) disabled
001 = RZQ/4 (60 ohm)
010 = RZQ/2 (120 ohm)
011 = RZQ/6 (40 ohm)
100 = RZQ/1 (240 ohm)
101 = RZQ/5 (48 ohm)
110 = RZQ/3 (80 ohm)
111 = RZQ/7 (34 ohm)</t>
        </r>
      </text>
    </comment>
    <comment ref="H1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16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Write leveling (WL) – Write leveling mode
0 = Disabled (normal operation)
1 = Enabled (enter WL mode)</t>
        </r>
      </text>
    </comment>
    <comment ref="H1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17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DQ RX EQ
Default = 000; Must be programmed to 000 unless otherwise stated</t>
        </r>
      </text>
    </comment>
    <comment ref="H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Additive latency (AL) – Command additive latency setting
00 = 0 (AL disabled)
01 = CL - 1
10 = CL - 2
11 = Reserved</t>
        </r>
      </text>
    </comment>
    <comment ref="H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Output driver impedance (ODI) – Output driver impedance setting
00 = RZQ/7 (34 ohm)
01 = RZQ/5 (48 ohm)
10 = Reserved (Although not JEDEC-defined and not tested, this setting will provide RZQ/6 or 40 ohm)
11 = Reserved</t>
        </r>
      </text>
    </comment>
    <comment ref="H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DLL enable – DLL enable feature
0 = DLL disabled
1 = DLL enabled (normal operation)</t>
        </r>
      </text>
    </comment>
    <comment ref="H2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data bus CRC
0 = Disabled
1 = Enabled</t>
        </r>
      </text>
    </comment>
    <comment ref="H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Dynamic ODT (RTT(WR)) – Data bus termination setting during WRITEs
000 = RTT(WR) disabled (WRITE does not affect RTT value)
001 = RZQ/2 (120 ohm)
010 = RZQ/1 (240 ohm)
011 = High-Z
100 = RZQ/3 (80 ohm)
101 = Reserved
110 = Reserved
111 = Reserved</t>
        </r>
      </text>
    </comment>
    <comment ref="H2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Low-power auto self refresh (LPASR) – Mode summary
00 = Manual mode - Normal operating temperature range (TC: 0°C–85°C)
01 = Manual mode - Reduced operating temperature range (TC: 0°C–45°C)
10 = Manual mode - Extended operating temperature range (TC: 0°C–95°C)
11 = ASR mode - Automatically switching among all modes</t>
        </r>
      </text>
    </comment>
    <comment ref="H2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5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CAS WRITE latency (CWL) – Delay in clock cycles from the internal WRITE command to first data-in
1tCK WRITE preamble
000 = 9 (DDR4-1600)1
001 = 10 (DDR4-1866)
010 = 11 (DDR4-2133/1600)1
011 = 12 (DDR4-2400/1866)
100 = 14 (DDR4-2666/2133)
101 = 16 (DDR4-2933,3200/2400)
110 = 18 (DDR4-2666)
111 = 20 (DDR4-2933, 3200)
CAS WRITE latency (CWL) – Delay in clock cycles from the internal WRITE command to first data-in
2tCK WRITE preamble
000 = N/A
001 = N/A
010 = N/A
011 = N/A
100 = 14 (DDR4-2400)
101 = 16 (DDR4-2666/2400)
110 = 18 (DDR4-2933, 3200/2666)
111 = 20 (DDR4-2933, 3200)</t>
        </r>
      </text>
    </comment>
    <comment ref="H2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– Read format
00 = Serial
01 = Parallel
10 = Staggered
11 = Reserved</t>
        </r>
      </text>
    </comment>
    <comment ref="H2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2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CMD latency when CRC/DM enabled
00 = 4CK (DDR4-1600)
01 = 5CK (DDR4-1866/2133/2400/2666)
10 = 6CK (DDR4-2933/3200)
11 = Reserved</t>
        </r>
      </text>
    </comment>
    <comment ref="H2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
</t>
        </r>
      </text>
    </comment>
    <comment ref="K2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Fine granularity refresh mode
000 = Normal mode (fixed 1x)
001 = Fixed 2x
010 = Fixed 4x
011 = Reserved
100 = Reserved
101 = On-the-fly 1x/2x
110 = On-the-fly 1x/4x
111 = Reserved</t>
        </r>
      </text>
    </comment>
    <comment ref="H3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sensor status
0 = Disabled
1 = Enabled</t>
        </r>
      </text>
    </comment>
    <comment ref="H3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Per-DRAM addressability
0 = Normal operation (disabled)
1 = Enable</t>
        </r>
      </text>
    </comment>
    <comment ref="H32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Gear-down mode – Ratio of internal clock to external data rate
0 = [1:1]; (1/2 rate data)
1 = [2:1]; (1/4 rate data)</t>
        </r>
      </text>
    </comment>
    <comment ref="H3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K3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access
0 = Normal operation
1 = Data flow from MPR</t>
        </r>
      </text>
    </comment>
    <comment ref="H3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K3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MPR page select
00 = Page 0
01 = Page 1
10 = Page 2
11 = Page 3 (restricted for DRAM manufacturer use only)</t>
        </r>
      </text>
    </comment>
    <comment ref="H3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H3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K3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Hard Post Package Repair (hPPR mode)
0 = Disabled
1 = Enabled</t>
        </r>
      </text>
    </comment>
    <comment ref="H3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WRITE preamble setting
0 = 1tCK toggle
1 = 2tCK toggle</t>
        </r>
      </text>
    </comment>
    <comment ref="H3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setting
0 = 1tCK toggle1
1 = 2tCK toggle (When operating in 2tCK WRITE preamble mode, CWL must be programmed to a value at
least 1 clock greater than the lowest CWL setting supported in the applicable tCK range.)</t>
        </r>
      </text>
    </comment>
    <comment ref="H3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training
0 = Disabled
1 = Enabled</t>
        </r>
      </text>
    </comment>
    <comment ref="H4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4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Self refresh abort mode
0 = Disabled
1 = Enabled</t>
        </r>
      </text>
    </comment>
    <comment ref="H4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K4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CMD (CAL) address latency
000 = 0 clocks (disabled)
001 = 3 clocks
010 = 4 clocks
011 = 5 clocks
100 = 6 clocks
101 = 8 clocks
110 = Reserved
111 = Reserved</t>
        </r>
      </text>
    </comment>
    <comment ref="K4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soft Post Package Repair (sPPR mode)
0 = Disabled
1 = Enabled</t>
        </r>
      </text>
    </comment>
    <comment ref="K4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Internal VREF monitor
0 = Disabled
1 = Enabled</t>
        </r>
      </text>
    </comment>
    <comment ref="K4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mode
0 = Disabled
1 = Enabled</t>
        </r>
      </text>
    </comment>
    <comment ref="K4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range
0 = Normal temperature mode
1 = Extended temperature mode</t>
        </r>
      </text>
    </comment>
    <comment ref="K4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Maximum power savings mode
0 = Normal operation
1 = Enabled</t>
        </r>
      </text>
    </comment>
    <comment ref="K4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READ DBI enable
0 = Disabled
1 = Enabled</t>
        </r>
      </text>
    </comment>
    <comment ref="K4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WRITE DBI enable
0 = Disabled
1 = Enabled</t>
        </r>
      </text>
    </comment>
    <comment ref="K5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mask (DM)
0 = Disabled
1 = Enabled</t>
        </r>
      </text>
    </comment>
    <comment ref="K5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persistent error mode
0 = Disabled
1 = Enabled</t>
        </r>
      </text>
    </comment>
    <comment ref="K5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Parked ODT value (RTT(Park))
000 = RTT(Park) disabled
001 = RZQ/4 (60 ohm)
010 = RZQ/2 (120 ohm)
011 = RZQ/6 (40 ohm)
100 = RZQ/1 (240 ohm)
101 = RZQ/5 (48 ohm)
110 = RZQ/3 (80 ohm)
111 = RZQ/7 (34 ohm)</t>
        </r>
      </text>
    </comment>
    <comment ref="K5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ODT input buffer for power-down
0 = Buffer enabled
1 = Buffer disabled</t>
        </r>
      </text>
    </comment>
    <comment ref="K5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error status
0 = Clear
1 = Error</t>
        </r>
      </text>
    </comment>
    <comment ref="K5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CRC error status
0 = Clear
1 = Error</t>
        </r>
      </text>
    </comment>
    <comment ref="K5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latency mode
000 = Disable
001 = 4 clocks (DDR4-1600/1866/2133)
010 = 5 clocks (DDR4-2400/2666)
011 = 6 clocks (DDR4-2933/3200)
100 = Reserved
101 = Reserved
110 = Reserved
111 = Reserved</t>
        </r>
      </text>
    </comment>
    <comment ref="K5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tCCD_L
000 = 4 clocks (ื1333 Mb/s)
001 = 5 clocks (&gt;1333 Mb/s and ื1866 Mb/s)
010 = 6 clocks (&gt;1866 Mb/s and ื2400 Mb/s)
011 = 7 clocks (&gt;2400 Mb/s and ื2666 Mb/s)
100 = 8 clocks (&gt;2666 Mb/s and ื3200 Mb/s)
101 = Reserved
110 = Reserved
111 = Reserved</t>
        </r>
      </text>
    </comment>
    <comment ref="K5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Enable
0 = Disable
1 = Enable</t>
        </r>
      </text>
    </comment>
    <comment ref="K6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Range
0 = Range 1
1 = Range 2</t>
        </r>
      </text>
    </comment>
    <comment ref="K6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Value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WR (WRITE recovery)/RTP (READ-to-PRECHARGE)
0000 = 10 / 5 clocks1
0001 = 12 / 6 clocks
0010 = 14 / 7 clocks1
0011 = 16 / 8 / clocks
0100 = 18 / 9 clocks1
0101 = 20 /10 clocks
0110 = 24 / 12 clocks
0111 = 22 / 11 clocks1
1000 = 26 / 13 clocks1
1001 = 28 / 14 clocks2
1010 through 1111 = Reserved</t>
        </r>
      </text>
    </comment>
    <comment ref="A1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CAS latency (CL) – Delay in clock cycles from the internal READ command to first data-out
00000 = 9 clocks1
00001 = 10 clocks
00010 = 11 clocks1
00011 = 12 clocks
00100 = 13 clocks1
00101 = 14 clocks
00110 = 15 clocks1
00111 = 16 clocks
01000 = 18 clocks
01001 = 20 clocks
01010 = 22 clocks
01011 = 24 clocks
01100 = 23 clocks1
01101 = 17 clocks1
01110 = 19 clocks1
01111 = 21 clocks 1
10000 = 25 clocks (3DS use only)
10001 = 26 clocks
10010 = 27 clocks (3DS use only)
10011 = 28 clocks
10100 = 29 clocks1
10101 = 30 clocks
10110 = 31 clocks1
10111 = 32 clocks</t>
        </r>
      </text>
    </comment>
    <comment ref="B1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作者:
CAS latency (CL) – Delay in clock cycles from the internal READ command to first data-out
00000 = 9 clocks1
00001 = 10 clocks
00010 = 11 clocks1
00011 = 12 clocks
00100 = 13 clocks1
00101 = 14 clocks
00110 = 15 clocks1
00111 = 16 clocks
01000 = 18 clocks
01001 = 20 clocks
01010 = 22 clocks
01011 = 24 clocks
01100 = 23 clocks1
01101 = 17 clocks1
01110 = 19 clocks1
01111 = 21 clocks 1
10000 = 25 clocks (3DS use only)
10001 = 26 clocks
10010 = 27 clocks (3DS use only)
10011 = 28 clocks
10100 = 29 clocks1
10101 = 30 clocks
10110 = 31 clocks1
10111 = 32 clocks</t>
        </r>
      </text>
    </comment>
    <comment ref="B1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Burst type (BT) – Data burst ordering within a READ or WRITE burst access
0 = Nibble sequential
1 = Interleave</t>
        </r>
      </text>
    </comment>
    <comment ref="B1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00 = BL8 (fixed)
01 = BC4 or BL8 (on-the-fly)
10 = BC4 (fixed)
11 = Reserved</t>
        </r>
      </text>
    </comment>
    <comment ref="B1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Data output disable (Qoff) – Output buffer disable
0 = Enabled (normal operation)
1 = Disabled (both ODI and RTT)</t>
        </r>
      </text>
    </comment>
    <comment ref="B1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Termination data strobe (TDQS) – Additional termination pins (x8 configuration only)
0 = TDQS disabled
1 = TDQS enabled</t>
        </r>
      </text>
    </comment>
    <comment ref="B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Nominal ODT (RTT(NOM) – Data bus termination setting
000 = RTT(NOM) disabled
001 = RZQ/4 (60 ohm)
010 = RZQ/2 (120 ohm)
011 = RZQ/6 (40 ohm)
100 = RZQ/1 (240 ohm)
101 = RZQ/5 (48 ohm)
110 = RZQ/3 (80 ohm)
111 = RZQ/7 (34 ohm)</t>
        </r>
      </text>
    </comment>
    <comment ref="B20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Write leveling (WL) – Write leveling mode
0 = Disabled (normal operation)
1 = Enabled (enter WL mode)</t>
        </r>
      </text>
    </comment>
    <comment ref="B21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DQ RX EQ
Default = 000; Must be programmed to 000 unless otherwise stated</t>
        </r>
      </text>
    </comment>
    <comment ref="B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Additive latency (AL) – Command additive latency setting
00 = 0 (AL disabled)
01 = CL - 1
10 = CL - 2
11 = Reserved</t>
        </r>
      </text>
    </comment>
    <comment ref="B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Output driver impedance (ODI) – Output driver impedance setting
00 = RZQ/7 (34 ohm)
01 = RZQ/5 (48 ohm)
10 = Reserved (Although not JEDEC-defined and not tested, this setting will provide RZQ/6 or 40 ohm)
11 = Reserved</t>
        </r>
      </text>
    </comment>
    <comment ref="B2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DLL enable – DLL enable feature
0 = DLL disabled
1 = DLL enabled (normal operation)</t>
        </r>
      </text>
    </comment>
    <comment ref="B2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data bus CRC
0 = Disabled
1 = Enabled</t>
        </r>
      </text>
    </comment>
    <comment ref="B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Dynamic ODT (RTT(WR)) – Data bus termination setting during WRITEs
000 = RTT(WR) disabled (WRITE does not affect RTT value)
001 = RZQ/2 (120 ohm)
010 = RZQ/1 (240 ohm)
011 = High-Z
100 = RZQ/3 (80 ohm)
101 = Reserved
110 = Reserved
111 = Reserved</t>
        </r>
      </text>
    </comment>
    <comment ref="B2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Low-power auto self refresh (LPASR) – Mode summary
00 = Manual mode - Normal operating temperature range (TC: 0°C–85°C)
01 = Manual mode - Reduced operating temperature range (TC: 0°C–45°C)
10 = Manual mode - Extended operating temperature range (TC: 0°C–95°C)
11 = ASR mode - Automatically switching among all modes</t>
        </r>
      </text>
    </comment>
    <comment ref="B29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CAS WRITE latency (CWL) – Delay in clock cycles from the internal WRITE command to first data-in
1tCK WRITE preamble
000 = 9 (DDR4-1600)1
001 = 10 (DDR4-1866)
010 = 11 (DDR4-2133/1600)1
011 = 12 (DDR4-2400/1866)
100 = 14 (DDR4-2666/2133)
101 = 16 (DDR4-2933,3200/2400)
110 = 18 (DDR4-2666)
111 = 20 (DDR4-2933, 3200)
CAS WRITE latency (CWL) – Delay in clock cycles from the internal WRITE command to first data-in
2tCK WRITE preamble
000 = N/A
001 = N/A
010 = N/A
011 = N/A
100 = 14 (DDR4-2400)
101 = 16 (DDR4-2666/2400)
110 = 18 (DDR4-2933, 3200/2666)
111 = 20 (DDR4-2933, 3200)</t>
        </r>
      </text>
    </comment>
    <comment ref="B3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– Read format
00 = Serial
01 = Parallel
10 = Staggered
11 = Reserved</t>
        </r>
      </text>
    </comment>
    <comment ref="B3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CMD latency when CRC/DM enabled
00 = 4CK (DDR4-1600)
01 = 5CK (DDR4-1866/2133/2400/2666)
10 = 6CK (DDR4-2933/3200)
11 = Reserved</t>
        </r>
      </text>
    </comment>
    <comment ref="B3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Fine granularity refresh mode
000 = Normal mode (fixed 1x)
001 = Fixed 2x
010 = Fixed 4x
011 = Reserved
100 = Reserved
101 = On-the-fly 1x/2x
110 = On-the-fly 1x/4x
111 = Reserved</t>
        </r>
      </text>
    </comment>
    <comment ref="B3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sensor status
0 = Disabled
1 = Enabled</t>
        </r>
      </text>
    </comment>
    <comment ref="B3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Per-DRAM addressability
0 = Normal operation (disabled)
1 = Enable</t>
        </r>
      </text>
    </comment>
    <comment ref="B3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Gear-down mode – Ratio of internal clock to external data rate
0 = [1:1]; (1/2 rate data)
1 = [2:1]; (1/4 rate data)</t>
        </r>
      </text>
    </comment>
    <comment ref="B3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access
0 = Normal operation
1 = Data flow from MPR</t>
        </r>
      </text>
    </comment>
    <comment ref="B3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MPR page select
00 = Page 0
01 = Page 1
10 = Page 2
11 = Page 3 (restricted for DRAM manufacturer use only)</t>
        </r>
      </text>
    </comment>
    <comment ref="B4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Hard Post Package Repair (hPPR mode)
0 = Disabled
1 = Enabled</t>
        </r>
      </text>
    </comment>
    <comment ref="B4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WRITE preamble setting
0 = 1tCK toggle
1 = 2tCK toggle</t>
        </r>
      </text>
    </comment>
    <comment ref="B4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setting
0 = 1tCK toggle1
1 = 2tCK toggle (When operating in 2tCK WRITE preamble mode, CWL must be programmed to a value at
least 1 clock greater than the lowest CWL setting supported in the applicable tCK range.)</t>
        </r>
      </text>
    </comment>
    <comment ref="B4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training
0 = Disabled
1 = Enabled</t>
        </r>
      </text>
    </comment>
    <comment ref="B4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Self refresh abort mode
0 = Disabled
1 = Enabled</t>
        </r>
      </text>
    </comment>
    <comment ref="B4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CMD (CAL) address latency
000 = 0 clocks (disabled)
001 = 3 clocks
010 = 4 clocks
011 = 5 clocks
100 = 6 clocks
101 = 8 clocks
110 = Reserved
111 = Reserved</t>
        </r>
      </text>
    </comment>
    <comment ref="B4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soft Post Package Repair (sPPR mode)
0 = Disabled
1 = Enabled</t>
        </r>
      </text>
    </comment>
    <comment ref="B4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Internal VREF monitor
0 = Disabled
1 = Enabled</t>
        </r>
      </text>
    </comment>
    <comment ref="B4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mode
0 = Disabled
1 = Enabled</t>
        </r>
      </text>
    </comment>
    <comment ref="B4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range
0 = Normal temperature mode
1 = Extended temperature mode</t>
        </r>
      </text>
    </comment>
    <comment ref="B5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Maximum power savings mode
0 = Normal operation
1 = Enabled</t>
        </r>
      </text>
    </comment>
    <comment ref="B5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READ DBI enable
0 = Disabled
1 = Enabled</t>
        </r>
      </text>
    </comment>
    <comment ref="B5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WRITE DBI enable
0 = Disabled
1 = Enabled</t>
        </r>
      </text>
    </comment>
    <comment ref="B5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mask (DM)
0 = Disabled
1 = Enabled</t>
        </r>
      </text>
    </comment>
    <comment ref="B5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persistent error mode
0 = Disabled
1 = Enabled</t>
        </r>
      </text>
    </comment>
    <comment ref="B5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Parked ODT value (RTT(Park))
000 = RTT(Park) disabled
001 = RZQ/4 (60 ohm)
010 = RZQ/2 (120 ohm)
011 = RZQ/6 (40 ohm)
100 = RZQ/1 (240 ohm)
101 = RZQ/5 (48 ohm)
110 = RZQ/3 (80 ohm)
111 = RZQ/7 (34 ohm)</t>
        </r>
      </text>
    </comment>
    <comment ref="B5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ODT input buffer for power-down
0 = Buffer enabled
1 = Buffer disabled</t>
        </r>
      </text>
    </comment>
    <comment ref="B5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error status
0 = Clear
1 = Error</t>
        </r>
      </text>
    </comment>
    <comment ref="B5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CRC error status
0 = Clear
1 = Error</t>
        </r>
      </text>
    </comment>
    <comment ref="B6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latency mode
000 = Disable
001 = 4 clocks (DDR4-1600/1866/2133)
010 = 5 clocks (DDR4-2400/2666)
011 = 6 clocks (DDR4-2933/3200)
100 = Reserved
101 = Reserved
110 = Reserved
111 = Reserved</t>
        </r>
      </text>
    </comment>
    <comment ref="B6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tCCD_L
000 = 4 clocks (ื1333 Mb/s)
001 = 5 clocks (&gt;1333 Mb/s and ื1866 Mb/s)
010 = 6 clocks (&gt;1866 Mb/s and ื2400 Mb/s)
011 = 7 clocks (&gt;2400 Mb/s and ื2666 Mb/s)
100 = 8 clocks (&gt;2666 Mb/s and ื3200 Mb/s)
101 = Reserved
110 = Reserved
111 = Reserved</t>
        </r>
      </text>
    </comment>
    <comment ref="B6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Enable
0 = Disable
1 = Enable</t>
        </r>
      </text>
    </comment>
    <comment ref="B6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Range
0 = Range 1
1 = Range 2</t>
        </r>
      </text>
    </comment>
    <comment ref="B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Value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MTs</t>
        </r>
      </text>
    </comment>
    <comment ref="G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I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N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E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G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I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E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G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CL-1
2: CL-2</t>
        </r>
      </text>
    </comment>
    <comment ref="I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E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unit:ns</t>
        </r>
      </text>
    </comment>
    <comment ref="G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1:1; 
1: 1:2.</t>
        </r>
      </text>
    </comment>
    <comment ref="I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 us</t>
        </r>
      </text>
    </comment>
    <comment ref="E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G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0.5k;
1: 1k; 
2: 2k</t>
        </r>
      </text>
    </comment>
    <comment ref="I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0~85 </t>
        </r>
      </text>
    </comment>
    <comment ref="E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G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1x mode;
1: 2x mode;
2: 4x mode;</t>
        </r>
      </text>
    </comment>
    <comment ref="I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85 ~95</t>
        </r>
      </text>
    </comment>
    <comment ref="E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 = No
1 = Yes</t>
        </r>
      </text>
    </comment>
    <comment ref="I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CK</t>
        </r>
      </text>
    </comment>
    <comment ref="G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I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I1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J1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Jedec : always 15</t>
        </r>
      </text>
    </comment>
    <comment ref="K1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Burst type (BT) – Data burst ordering within a READ or WRITE burst access
0 = Nibble sequential
1 = Interleave</t>
        </r>
      </text>
    </comment>
    <comment ref="G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I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1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00 = BL8 (fixed)
01 = BC4 or BL8 (on-the-fly)
10 = BC4 (fixed)
11 = Reserved</t>
        </r>
      </text>
    </comment>
    <comment ref="G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I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G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I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Data output disable (Qoff) – Output buffer disable
0 = Enabled (normal operation)
1 = Disabled (both ODI and RTT)</t>
        </r>
      </text>
    </comment>
    <comment ref="I1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Termination data strobe (TDQS) – Additional termination pins (x8 configuration only)
0 = TDQS disabled
1 = TDQS enabled</t>
        </r>
      </text>
    </comment>
    <comment ref="I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Nominal ODT (RTT(NOM) – Data bus termination setting
000 = RTT(NOM) disabled
001 = RZQ/4 (60 ohm)
010 = RZQ/2 (120 ohm)
011 = RZQ/6 (40 ohm)
100 = RZQ/1 (240 ohm)
101 = RZQ/5 (48 ohm)
110 = RZQ/3 (80 ohm)
111 = RZQ/7 (34 ohm)</t>
        </r>
      </text>
    </comment>
    <comment ref="I1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16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Write leveling (WL) – Write leveling mode
0 = Disabled (normal operation)
1 = Enabled (enter WL mode)</t>
        </r>
      </text>
    </comment>
    <comment ref="I1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17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DQ RX EQ
Default = 000; Must be programmed to 000 unless otherwise stated</t>
        </r>
      </text>
    </comment>
    <comment ref="I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Additive latency (AL) – Command additive latency setting
00 = 0 (AL disabled)
01 = CL - 1
10 = CL - 2
11 = Reserved</t>
        </r>
      </text>
    </comment>
    <comment ref="I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Output driver impedance (ODI) – Output driver impedance setting
00 = RZQ/7 (34 ohm)
01 = RZQ/5 (48 ohm)
10 = Reserved (Although not JEDEC-defined and not tested, this setting will provide RZQ/6 or 40 ohm)
11 = Reserved</t>
        </r>
      </text>
    </comment>
    <comment ref="I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DLL enable – DLL enable feature
0 = DLL disabled
1 = DLL enabled (normal operation)</t>
        </r>
      </text>
    </comment>
    <comment ref="I2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I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data bus CRC
0 = Disabled
1 = Enabled</t>
        </r>
      </text>
    </comment>
    <comment ref="I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K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Dynamic ODT (RTT(WR)) – Data bus termination setting during WRITEs
000 = RTT(WR) disabled (WRITE does not affect RTT value)
001 = RZQ/2 (120 ohm)
010 = RZQ/1 (240 ohm)
011 = High-Z
100 = RZQ/3 (80 ohm)
101 = Reserved
110 = Reserved
111 = Reserved</t>
        </r>
      </text>
    </comment>
    <comment ref="I2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Low-power auto self refresh (LPASR) – Mode summary
00 = Manual mode - Normal operating temperature range (TC: 0°C–85°C)
01 = Manual mode - Reduced operating temperature range (TC: 0°C–45°C)
10 = Manual mode - Extended operating temperature range (TC: 0°C–95°C)
11 = ASR mode - Automatically switching among all modes</t>
        </r>
      </text>
    </comment>
    <comment ref="I2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5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CAS WRITE latency (CWL) – Delay in clock cycles from the internal WRITE command to first data-in
1tCK WRITE preamble
000 = 9 (DDR4-1600)1
001 = 10 (DDR4-1866)
010 = 11 (DDR4-2133/1600)1
011 = 12 (DDR4-2400/1866)
100 = 14 (DDR4-2666/2133)
101 = 16 (DDR4-2933,3200/2400)
110 = 18 (DDR4-2666)
111 = 20 (DDR4-2933, 3200)
CAS WRITE latency (CWL) – Delay in clock cycles from the internal WRITE command to first data-in
2tCK WRITE preamble
000 = N/A
001 = N/A
010 = N/A
011 = N/A
100 = 14 (DDR4-2400)
101 = 16 (DDR4-2666/2400)
110 = 18 (DDR4-2933, 3200/2666)
111 = 20 (DDR4-2933, 3200)</t>
        </r>
      </text>
    </comment>
    <comment ref="I2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I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K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– Read format
00 = Serial
01 = Parallel
10 = Staggered
11 = Reserved</t>
        </r>
      </text>
    </comment>
    <comment ref="I2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2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CMD latency when CRC/DM enabled
00 = 4CK (DDR4-1600)
01 = 5CK (DDR4-1866/2133/2400/2666)
10 = 6CK (DDR4-2933/3200)
11 = Reserved</t>
        </r>
      </text>
    </comment>
    <comment ref="I2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
</t>
        </r>
      </text>
    </comment>
    <comment ref="K2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Fine granularity refresh mode
000 = Normal mode (fixed 1x)
001 = Fixed 2x
010 = Fixed 4x
011 = Reserved
100 = Reserved
101 = On-the-fly 1x/2x
110 = On-the-fly 1x/4x
111 = Reserved</t>
        </r>
      </text>
    </comment>
    <comment ref="I3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sensor status
0 = Disabled
1 = Enabled</t>
        </r>
      </text>
    </comment>
    <comment ref="I3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Per-DRAM addressability
0 = Normal operation (disabled)
1 = Enable</t>
        </r>
      </text>
    </comment>
    <comment ref="I32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Gear-down mode – Ratio of internal clock to external data rate
0 = [1:1]; (1/2 rate data)
1 = [2:1]; (1/4 rate data)</t>
        </r>
      </text>
    </comment>
    <comment ref="I3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K3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access
0 = Normal operation
1 = Data flow from MPR</t>
        </r>
      </text>
    </comment>
    <comment ref="I3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K3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MPR page select
00 = Page 0
01 = Page 1
10 = Page 2
11 = Page 3 (restricted for DRAM manufacturer use only)</t>
        </r>
      </text>
    </comment>
    <comment ref="I3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I3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K3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Hard Post Package Repair (hPPR mode)
0 = Disabled
1 = Enabled</t>
        </r>
      </text>
    </comment>
    <comment ref="I3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WRITE preamble setting
0 = 1tCK toggle
1 = 2tCK toggle</t>
        </r>
      </text>
    </comment>
    <comment ref="I3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setting
0 = 1tCK toggle1
1 = 2tCK toggle (When operating in 2tCK WRITE preamble mode, CWL must be programmed to a value at
least 1 clock greater than the lowest CWL setting supported in the applicable tCK range.)</t>
        </r>
      </text>
    </comment>
    <comment ref="I3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3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training
0 = Disabled
1 = Enabled</t>
        </r>
      </text>
    </comment>
    <comment ref="I4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K4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Self refresh abort mode
0 = Disabled
1 = Enabled</t>
        </r>
      </text>
    </comment>
    <comment ref="I4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K4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CMD (CAL) address latency
000 = 0 clocks (disabled)
001 = 3 clocks
010 = 4 clocks
011 = 5 clocks
100 = 6 clocks
101 = 8 clocks
110 = Reserved
111 = Reserved</t>
        </r>
      </text>
    </comment>
    <comment ref="K4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soft Post Package Repair (sPPR mode)
0 = Disabled
1 = Enabled</t>
        </r>
      </text>
    </comment>
    <comment ref="K4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Internal VREF monitor
0 = Disabled
1 = Enabled</t>
        </r>
      </text>
    </comment>
    <comment ref="K4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mode
0 = Disabled
1 = Enabled</t>
        </r>
      </text>
    </comment>
    <comment ref="K4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range
0 = Normal temperature mode
1 = Extended temperature mode</t>
        </r>
      </text>
    </comment>
    <comment ref="K4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Maximum power savings mode
0 = Normal operation
1 = Enabled</t>
        </r>
      </text>
    </comment>
    <comment ref="K4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READ DBI enable
0 = Disabled
1 = Enabled</t>
        </r>
      </text>
    </comment>
    <comment ref="K4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WRITE DBI enable
0 = Disabled
1 = Enabled</t>
        </r>
      </text>
    </comment>
    <comment ref="K5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mask (DM)
0 = Disabled
1 = Enabled</t>
        </r>
      </text>
    </comment>
    <comment ref="K5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persistent error mode
0 = Disabled
1 = Enabled</t>
        </r>
      </text>
    </comment>
    <comment ref="K5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Parked ODT value (RTT(Park))
000 = RTT(Park) disabled
001 = RZQ/4 (60 ohm)
010 = RZQ/2 (120 ohm)
011 = RZQ/6 (40 ohm)
100 = RZQ/1 (240 ohm)
101 = RZQ/5 (48 ohm)
110 = RZQ/3 (80 ohm)
111 = RZQ/7 (34 ohm)</t>
        </r>
      </text>
    </comment>
    <comment ref="K5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ODT input buffer for power-down
0 = Buffer enabled
1 = Buffer disabled</t>
        </r>
      </text>
    </comment>
    <comment ref="K5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error status
0 = Clear
1 = Error</t>
        </r>
      </text>
    </comment>
    <comment ref="K5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CRC error status
0 = Clear
1 = Error</t>
        </r>
      </text>
    </comment>
    <comment ref="K5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latency mode
000 = Disable
001 = 4 clocks (DDR4-1600/1866/2133)
010 = 5 clocks (DDR4-2400/2666)
011 = 6 clocks (DDR4-2933/3200)
100 = Reserved
101 = Reserved
110 = Reserved
111 = Reserved</t>
        </r>
      </text>
    </comment>
    <comment ref="K5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tCCD_L
000 = 4 clocks (ื1333 Mb/s)
001 = 5 clocks (&gt;1333 Mb/s and ื1866 Mb/s)
010 = 6 clocks (&gt;1866 Mb/s and ื2400 Mb/s)
011 = 7 clocks (&gt;2400 Mb/s and ื2666 Mb/s)
100 = 8 clocks (&gt;2666 Mb/s and ื3200 Mb/s)
101 = Reserved
110 = Reserved
111 = Reserved</t>
        </r>
      </text>
    </comment>
    <comment ref="K5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Enable
0 = Disable
1 = Enable</t>
        </r>
      </text>
    </comment>
    <comment ref="K6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Range
0 = Range 1
1 = Range 2</t>
        </r>
      </text>
    </comment>
    <comment ref="K6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Value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MTs</t>
        </r>
      </text>
    </comment>
    <comment ref="F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M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D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CL-1
2: CL-2</t>
        </r>
      </text>
    </comment>
    <comment ref="H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4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WR (WRITE recovery)/RTP (READ-to-PRECHARGE)
0000 = 10 / 5 clocks1
0001 = 12 / 6 clocks
0010 = 14 / 7 clocks1
0011 = 16 / 8 / clocks
0100 = 18 / 9 clocks1
0101 = 20 /10 clocks
0110 = 24 / 12 clocks
0111 = 22 / 11 clocks1
1000 = 26 / 13 clocks1
1001 = 28 / 14 clocks2
1010 through 1111 = Reserved</t>
        </r>
      </text>
    </comment>
    <comment ref="D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unit:ns</t>
        </r>
      </text>
    </comment>
    <comment ref="F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1:1; 
1: 1:2.</t>
        </r>
      </text>
    </comment>
    <comment ref="H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 us</t>
        </r>
      </text>
    </comment>
    <comment ref="D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0.5k;
1: 1k; 
2: 2k</t>
        </r>
      </text>
    </comment>
    <comment ref="H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0~85 </t>
        </r>
      </text>
    </comment>
    <comment ref="J6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WR (WRITE recovery)/RTP (READ-to-PRECHARGE)
0000 = 10 / 5 clocks1
0001 = 12 / 6 clocks
0010 = 14 / 7 clocks1
0011 = 16 / 8 / clocks
0100 = 18 / 9 clocks1
0101 = 20 /10 clocks
0110 = 24 / 12 clocks
0111 = 22 / 11 clocks1
1000 = 26 / 13 clocks1
1001 = 28 / 14 clocks2
1010 through 1111 = Reserved</t>
        </r>
      </text>
    </comment>
    <comment ref="D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1x mode;
1: 2x mode;
2: 4x mode;</t>
        </r>
      </text>
    </comment>
    <comment ref="H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85 ~95</t>
        </r>
      </text>
    </comment>
    <comment ref="J7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DLL reset
0 = No
1 = Yes</t>
        </r>
      </text>
    </comment>
    <comment ref="D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 = No
1 = Yes</t>
        </r>
      </text>
    </comment>
    <comment ref="H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CK</t>
        </r>
      </text>
    </comment>
    <comment ref="J8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Test mode (TM) – Manufacturer use only
0 = Normal operating mode, must be programmed to 0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9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CAS latency (CL) – Delay in clock cycles from the internal READ command to first data-out
00000 = 9 clocks1
00001 = 10 clocks
00010 = 11 clocks1
00011 = 12 clocks
00100 = 13 clocks1
00101 = 14 clocks
00110 = 15 clocks1
00111 = 16 clocks
01000 = 18 clocks
01001 = 20 clocks
01010 = 22 clocks
01011 = 24 clocks
01100 = 23 clocks1
01101 = 17 clocks1
01110 = 19 clocks1
01111 = 21 clocks 1
10000 = 25 clocks (3DS use only)
10001 = 26 clocks
10010 = 27 clocks (3DS use only)
10011 = 28 clocks
10100 = 29 clocks1
10101 = 30 clocks
10110 = 31 clocks1
10111 = 32 clocks</t>
        </r>
      </text>
    </comment>
    <comment ref="H1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I1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Jedec : always 15</t>
        </r>
      </text>
    </comment>
    <comment ref="J1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Burst type (BT) – Data burst ordering within a READ or WRITE burst access
0 = Nibble sequential
1 = Interleave</t>
        </r>
      </text>
    </comment>
    <comment ref="F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J1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00 = BL8 (fixed)
01 = BC4 or BL8 (on-the-fly)
10 = BC4 (fixed)
11 = Reserved</t>
        </r>
      </text>
    </comment>
    <comment ref="F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1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Data output disable (Qoff) – Output buffer disable
0 = Enabled (normal operation)
1 = Disabled (both ODI and RTT)</t>
        </r>
      </text>
    </comment>
    <comment ref="H1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1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Termination data strobe (TDQS) – Additional termination pins (x8 configuration only)
0 = TDQS disabled
1 = TDQS enabled</t>
        </r>
      </text>
    </comment>
    <comment ref="H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J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Nominal ODT (RTT(NOM) – Data bus termination setting
000 = RTT(NOM) disabled
001 = RZQ/4 (60 ohm)
010 = RZQ/2 (120 ohm)
011 = RZQ/6 (40 ohm)
100 = RZQ/1 (240 ohm)
101 = RZQ/5 (48 ohm)
110 = RZQ/3 (80 ohm)
111 = RZQ/7 (34 ohm)</t>
        </r>
      </text>
    </comment>
    <comment ref="H1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16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Write leveling (WL) – Write leveling mode
0 = Disabled (normal operation)
1 = Enabled (enter WL mode)</t>
        </r>
      </text>
    </comment>
    <comment ref="H1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17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 DQ RX EQ
Default = 000; Must be programmed to 000 unless otherwise stated</t>
        </r>
      </text>
    </comment>
    <comment ref="H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Additive latency (AL) – Command additive latency setting
00 = 0 (AL disabled)
01 = CL - 1
10 = CL - 2
11 = Reserved</t>
        </r>
      </text>
    </comment>
    <comment ref="H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Output driver impedance (ODI) – Output driver impedance setting
00 = RZQ/7 (34 ohm)
01 = RZQ/5 (48 ohm)
10 = Reserved (Although not JEDEC-defined and not tested, this setting will provide RZQ/6 or 40 ohm)
11 = Reserved</t>
        </r>
      </text>
    </comment>
    <comment ref="H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DLL enable – DLL enable feature
0 = DLL disabled
1 = DLL enabled (normal operation)</t>
        </r>
      </text>
    </comment>
    <comment ref="H2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J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data bus CRC
0 = Disabled
1 = Enabled</t>
        </r>
      </text>
    </comment>
    <comment ref="H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J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Dynamic ODT (RTT(WR)) – Data bus termination setting during WRITEs
000 = RTT(WR) disabled (WRITE does not affect RTT value)
001 = RZQ/2 (120 ohm)
010 = RZQ/1 (240 ohm)
011 = High-Z
100 = RZQ/3 (80 ohm)
101 = Reserved
110 = Reserved
111 = Reserved</t>
        </r>
      </text>
    </comment>
    <comment ref="H2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2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Low-power auto self refresh (LPASR) – Mode summary
00 = Manual mode - Normal operating temperature range (TC: 0°C–85°C)
01 = Manual mode - Reduced operating temperature range (TC: 0°C–45°C)
10 = Manual mode - Extended operating temperature range (TC: 0°C–95°C)
11 = ASR mode - Automatically switching among all modes</t>
        </r>
      </text>
    </comment>
    <comment ref="H2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25" authorId="0" shapeId="0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CAS WRITE latency (CWL) – Delay in clock cycles from the internal WRITE command to first data-in
1tCK WRITE preamble
000 = 9 (DDR4-1600)1
001 = 10 (DDR4-1866)
010 = 11 (DDR4-2133/1600)1
011 = 12 (DDR4-2400/1866)
100 = 14 (DDR4-2666/2133)
101 = 16 (DDR4-2933,3200/2400)
110 = 18 (DDR4-2666)
111 = 20 (DDR4-2933, 3200)
CAS WRITE latency (CWL) – Delay in clock cycles from the internal WRITE command to first data-in
2tCK WRITE preamble
000 = N/A
001 = N/A
010 = N/A
011 = N/A
100 = 14 (DDR4-2400)
101 = 16 (DDR4-2666/2400)
110 = 18 (DDR4-2933, 3200/2666)
111 = 20 (DDR4-2933, 3200)</t>
        </r>
      </text>
    </comment>
    <comment ref="H2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J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– Read format
00 = Serial
01 = Parallel
10 = Staggered
11 = Reserved</t>
        </r>
      </text>
    </comment>
    <comment ref="H2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2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WRITE CMD latency when CRC/DM enabled
00 = 4CK (DDR4-1600)
01 = 5CK (DDR4-1866/2133/2400/2666)
10 = 6CK (DDR4-2933/3200)
11 = Reserved</t>
        </r>
      </text>
    </comment>
    <comment ref="H2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
</t>
        </r>
      </text>
    </comment>
    <comment ref="J2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Fine granularity refresh mode
000 = Normal mode (fixed 1x)
001 = Fixed 2x
010 = Fixed 4x
011 = Reserved
100 = Reserved
101 = On-the-fly 1x/2x
110 = On-the-fly 1x/4x
111 = Reserved</t>
        </r>
      </text>
    </comment>
    <comment ref="H3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3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sensor status
0 = Disabled
1 = Enabled</t>
        </r>
      </text>
    </comment>
    <comment ref="H3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3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Per-DRAM addressability
0 = Normal operation (disabled)
1 = Enable</t>
        </r>
      </text>
    </comment>
    <comment ref="H32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3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Gear-down mode – Ratio of internal clock to external data rate
0 = [1:1]; (1/2 rate data)
1 = [2:1]; (1/4 rate data)</t>
        </r>
      </text>
    </comment>
    <comment ref="H3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J3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Multipurpose register (MPR) access
0 = Normal operation
1 = Data flow from MPR</t>
        </r>
      </text>
    </comment>
    <comment ref="H3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J3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MPR page select
00 = Page 0
01 = Page 1
10 = Page 2
11 = Page 3 (restricted for DRAM manufacturer use only)</t>
        </r>
      </text>
    </comment>
    <comment ref="H3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H3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J3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Hard Post Package Repair (hPPR mode)
0 = Disabled
1 = Enabled</t>
        </r>
      </text>
    </comment>
    <comment ref="H3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3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WRITE preamble setting
0 = 1tCK toggle
1 = 2tCK toggle</t>
        </r>
      </text>
    </comment>
    <comment ref="H3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3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setting
0 = 1tCK toggle1
1 = 2tCK toggle (When operating in 2tCK WRITE preamble mode, CWL must be programmed to a value at
least 1 clock greater than the lowest CWL setting supported in the applicable tCK range.)</t>
        </r>
      </text>
    </comment>
    <comment ref="H3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3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READ preamble training
0 = Disabled
1 = Enabled</t>
        </r>
      </text>
    </comment>
    <comment ref="H4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J4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Self refresh abort mode
0 = Disabled
1 = Enabled</t>
        </r>
      </text>
    </comment>
    <comment ref="H4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J4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CMD (CAL) address latency
000 = 0 clocks (disabled)
001 = 3 clocks
010 = 4 clocks
011 = 5 clocks
100 = 6 clocks
101 = 8 clocks
110 = Reserved
111 = Reserved</t>
        </r>
      </text>
    </comment>
    <comment ref="J4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soft Post Package Repair (sPPR mode)
0 = Disabled
1 = Enabled</t>
        </r>
      </text>
    </comment>
    <comment ref="J4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Internal VREF monitor
0 = Disabled
1 = Enabled</t>
        </r>
      </text>
    </comment>
    <comment ref="J4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mode
0 = Disabled
1 = Enabled</t>
        </r>
      </text>
    </comment>
    <comment ref="J4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Temperature controlled refresh range
0 = Normal temperature mode
1 = Extended temperature mode</t>
        </r>
      </text>
    </comment>
    <comment ref="J4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Maximum power savings mode
0 = Normal operation
1 = Enabled</t>
        </r>
      </text>
    </comment>
    <comment ref="J4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READ DBI enable
0 = Disabled
1 = Enabled</t>
        </r>
      </text>
    </comment>
    <comment ref="J4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bus inversion (DBI) – WRITE DBI enable
0 = Disabled
1 = Enabled</t>
        </r>
      </text>
    </comment>
    <comment ref="J5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Data mask (DM)
0 = Disabled
1 = Enabled</t>
        </r>
      </text>
    </comment>
    <comment ref="J5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persistent error mode
0 = Disabled
1 = Enabled</t>
        </r>
      </text>
    </comment>
    <comment ref="J5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Parked ODT value (RTT(Park))
000 = RTT(Park) disabled
001 = RZQ/4 (60 ohm)
010 = RZQ/2 (120 ohm)
011 = RZQ/6 (40 ohm)
100 = RZQ/1 (240 ohm)
101 = RZQ/5 (48 ohm)
110 = RZQ/3 (80 ohm)
111 = RZQ/7 (34 ohm)</t>
        </r>
      </text>
    </comment>
    <comment ref="J5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ODT input buffer for power-down
0 = Buffer enabled
1 = Buffer disabled</t>
        </r>
      </text>
    </comment>
    <comment ref="J5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error status
0 = Clear
1 = Error</t>
        </r>
      </text>
    </comment>
    <comment ref="J5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CRC error status
0 = Clear
1 = Error</t>
        </r>
      </text>
    </comment>
    <comment ref="J5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CA parity latency mode
000 = Disable
001 = 4 clocks (DDR4-1600/1866/2133)
010 = 5 clocks (DDR4-2400/2666)
011 = 6 clocks (DDR4-2933/3200)
100 = Reserved
101 = Reserved
110 = Reserved
111 = Reserved</t>
        </r>
      </text>
    </comment>
    <comment ref="J5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 tCCD_L
000 = 4 clocks (ื1333 Mb/s)
001 = 5 clocks (&gt;1333 Mb/s and ื1866 Mb/s)
010 = 6 clocks (&gt;1866 Mb/s and ื2400 Mb/s)
011 = 7 clocks (&gt;2400 Mb/s and ื2666 Mb/s)
100 = 8 clocks (&gt;2666 Mb/s and ื3200 Mb/s)
101 = Reserved
110 = Reserved
111 = Reserved</t>
        </r>
      </text>
    </comment>
    <comment ref="J5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Enable
0 = Disable
1 = Enable</t>
        </r>
      </text>
    </comment>
    <comment ref="J6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Range
0 = Range 1
1 = Range 2</t>
        </r>
      </text>
    </comment>
    <comment ref="J6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VREF Calibration Value</t>
        </r>
      </text>
    </comment>
  </commentList>
</comments>
</file>

<file path=xl/sharedStrings.xml><?xml version="1.0" encoding="utf-8"?>
<sst xmlns="http://schemas.openxmlformats.org/spreadsheetml/2006/main" count="1150" uniqueCount="279">
  <si>
    <t>wr2pre</t>
  </si>
  <si>
    <t>wl</t>
  </si>
  <si>
    <t>write 1T mode</t>
  </si>
  <si>
    <t>AL</t>
  </si>
  <si>
    <t>MR5[2:0]</t>
  </si>
  <si>
    <t>data_rate</t>
  </si>
  <si>
    <t>t_faw</t>
  </si>
  <si>
    <t>bl</t>
  </si>
  <si>
    <t>CA parity eanble</t>
  </si>
  <si>
    <t>PL</t>
  </si>
  <si>
    <t>MR1[4:3]</t>
  </si>
  <si>
    <t>Tck</t>
  </si>
  <si>
    <t>DRAMTMG0</t>
  </si>
  <si>
    <t>t_ras_max</t>
  </si>
  <si>
    <t>tWR</t>
  </si>
  <si>
    <t>read-dbi</t>
  </si>
  <si>
    <t>CWL</t>
  </si>
  <si>
    <t>DRAMTMG1</t>
  </si>
  <si>
    <t>t_ras_min</t>
  </si>
  <si>
    <t>tFAW</t>
  </si>
  <si>
    <t>AL_MR</t>
  </si>
  <si>
    <t>CL</t>
  </si>
  <si>
    <t>DRAMTMG2</t>
  </si>
  <si>
    <t>tRAS_min</t>
  </si>
  <si>
    <t>freq_ratio 
0: 1:1; 1: 1:2.</t>
  </si>
  <si>
    <t>tREFI_base</t>
  </si>
  <si>
    <t>DRAMTMG3</t>
  </si>
  <si>
    <t>t_xp</t>
  </si>
  <si>
    <t>tRAS_max</t>
  </si>
  <si>
    <t>page size
0: 0.5k; 1:1k; 2:2k</t>
  </si>
  <si>
    <t>tREFI</t>
  </si>
  <si>
    <t>DRAMTMG4</t>
  </si>
  <si>
    <t>rd2pre</t>
  </si>
  <si>
    <t>RL</t>
  </si>
  <si>
    <t>refresh mode</t>
  </si>
  <si>
    <t>DRAMTMG5</t>
  </si>
  <si>
    <t>t_rc</t>
  </si>
  <si>
    <t>CWL-ALT</t>
  </si>
  <si>
    <t>tXP</t>
  </si>
  <si>
    <t>DRAMTMG6</t>
  </si>
  <si>
    <t>tRFC4</t>
  </si>
  <si>
    <t xml:space="preserve">tRTP </t>
  </si>
  <si>
    <t>DRAMTMG7</t>
  </si>
  <si>
    <t>write_latency</t>
  </si>
  <si>
    <t>tRFC(tRFC1)</t>
  </si>
  <si>
    <t xml:space="preserve">tRP </t>
  </si>
  <si>
    <t>DRAMTMG8</t>
  </si>
  <si>
    <t>read_latency</t>
  </si>
  <si>
    <t>read 1T mode</t>
  </si>
  <si>
    <t>tRC</t>
  </si>
  <si>
    <t>DRAMTMG9</t>
  </si>
  <si>
    <t>rd2wr</t>
  </si>
  <si>
    <t>tWTR_L</t>
  </si>
  <si>
    <t>DRAMTMG10</t>
  </si>
  <si>
    <t>wr2rd</t>
  </si>
  <si>
    <t>tMRD</t>
  </si>
  <si>
    <t>DRAMTMG11</t>
  </si>
  <si>
    <t>tMOD</t>
  </si>
  <si>
    <t>DRAMTMG12</t>
  </si>
  <si>
    <t>t_mrw</t>
  </si>
  <si>
    <t>tRCD</t>
  </si>
  <si>
    <t>DRAMTMG13</t>
  </si>
  <si>
    <t>t_mrd</t>
  </si>
  <si>
    <t>tCCD_L</t>
  </si>
  <si>
    <t>DRAMTMG14</t>
  </si>
  <si>
    <t>t_mod</t>
  </si>
  <si>
    <t>tRRD_L</t>
  </si>
  <si>
    <t>DRAMTMG15</t>
  </si>
  <si>
    <t>tCKSRX</t>
  </si>
  <si>
    <t>t_rcd</t>
  </si>
  <si>
    <t>tCKSRE</t>
  </si>
  <si>
    <t>t_ccd</t>
  </si>
  <si>
    <t>tCKE</t>
  </si>
  <si>
    <t>t_rrd</t>
  </si>
  <si>
    <t>tCKESR</t>
  </si>
  <si>
    <t>t_rp</t>
  </si>
  <si>
    <t>tXS_FAST</t>
  </si>
  <si>
    <t>tXS_ABORT</t>
  </si>
  <si>
    <t>t_cksrx</t>
  </si>
  <si>
    <t>tXSDLL</t>
  </si>
  <si>
    <t>t_cksre</t>
  </si>
  <si>
    <t>tXS</t>
  </si>
  <si>
    <t>t_ckesr</t>
  </si>
  <si>
    <t>tDLLK</t>
  </si>
  <si>
    <t>t_cke</t>
  </si>
  <si>
    <t>tCCD_S</t>
  </si>
  <si>
    <t xml:space="preserve"> </t>
  </si>
  <si>
    <t>tRRD_S</t>
  </si>
  <si>
    <t>t_ckdpde</t>
  </si>
  <si>
    <t>tWTR_S</t>
  </si>
  <si>
    <t>t_ckdpdx</t>
  </si>
  <si>
    <t>tGEAR_teup</t>
  </si>
  <si>
    <t>t_ckcsx</t>
  </si>
  <si>
    <t>tGEAR_hold</t>
  </si>
  <si>
    <t>t XMPDLL</t>
  </si>
  <si>
    <t>t_ckpde</t>
  </si>
  <si>
    <t>tMPX_LH</t>
  </si>
  <si>
    <t>t_ckpdx</t>
  </si>
  <si>
    <t>t IS</t>
  </si>
  <si>
    <t>t IH</t>
  </si>
  <si>
    <t>t_xs_fast_x32</t>
  </si>
  <si>
    <t>t MPX_S</t>
  </si>
  <si>
    <t>t_xs_abort_x32</t>
  </si>
  <si>
    <t>t CPDED</t>
  </si>
  <si>
    <t>t_xs_dll_x32</t>
  </si>
  <si>
    <t>t CKMPE</t>
  </si>
  <si>
    <t>t_xs_x32</t>
  </si>
  <si>
    <t>t MR_MPR</t>
  </si>
  <si>
    <t>tMRD_PDA</t>
  </si>
  <si>
    <t>ddr4_wr_preamble</t>
  </si>
  <si>
    <t>t_ccd_s</t>
  </si>
  <si>
    <t>t_rrd_s</t>
  </si>
  <si>
    <t>wr2rd_s</t>
  </si>
  <si>
    <t>t_sync_gear</t>
  </si>
  <si>
    <t>t_cmd_gear</t>
  </si>
  <si>
    <t>t_gear_stetup</t>
  </si>
  <si>
    <t>t_gear_hold</t>
  </si>
  <si>
    <t>post_mpsm_gap_x32</t>
  </si>
  <si>
    <t>t_mpx_lh</t>
  </si>
  <si>
    <t>t_mpx_s</t>
  </si>
  <si>
    <t>t_ckmpe</t>
  </si>
  <si>
    <t>t_wr_mpr</t>
  </si>
  <si>
    <t>t_cmdcke</t>
  </si>
  <si>
    <t>t_mrd_pda</t>
  </si>
  <si>
    <t>odtloff</t>
  </si>
  <si>
    <t>t_ccd_mw</t>
  </si>
  <si>
    <t>t_ppd</t>
  </si>
  <si>
    <t>t_xsr</t>
  </si>
  <si>
    <t>en_dfi_lp_t_stab</t>
  </si>
  <si>
    <t>en_hwffc_t_stab</t>
  </si>
  <si>
    <t>t_stab_x32</t>
  </si>
  <si>
    <t>t_rp_ca_parity</t>
  </si>
  <si>
    <t>t_rfaw_dlr</t>
  </si>
  <si>
    <t>t_rrd_dlr</t>
  </si>
  <si>
    <t>t_ccd_dlr</t>
  </si>
  <si>
    <t>t_vrcg_enable</t>
  </si>
  <si>
    <t>t_vrcg_disable</t>
  </si>
  <si>
    <t>DRAMTMG16</t>
  </si>
  <si>
    <t>DRAMTMG17</t>
  </si>
  <si>
    <t>DRAMTMG18</t>
  </si>
  <si>
    <t>MR0[17]</t>
  </si>
  <si>
    <t>MR0[13,11:9]</t>
  </si>
  <si>
    <t>MR0[13]</t>
  </si>
  <si>
    <t>MR0[11:9]</t>
  </si>
  <si>
    <t>MR0[8]</t>
  </si>
  <si>
    <t>DLL reset</t>
  </si>
  <si>
    <t>MR0[7]</t>
  </si>
  <si>
    <t>MR0[12,6:4,2]</t>
  </si>
  <si>
    <t>MR0[3]</t>
  </si>
  <si>
    <t>MR0[1:0]</t>
  </si>
  <si>
    <t>write-dbi</t>
  </si>
  <si>
    <t>data mask</t>
  </si>
  <si>
    <t>MR1[12]</t>
  </si>
  <si>
    <t>MR1[11]</t>
  </si>
  <si>
    <t>MR1[10:8]</t>
  </si>
  <si>
    <t>MR1[7]</t>
  </si>
  <si>
    <t>MR1[13,6,5]</t>
  </si>
  <si>
    <t>MR1[2:1]</t>
  </si>
  <si>
    <t>MR1[0]</t>
  </si>
  <si>
    <t>MR2[12]</t>
  </si>
  <si>
    <t>MR2[11:9]</t>
  </si>
  <si>
    <t>MR2[7:6]</t>
  </si>
  <si>
    <t>DFITIMG0</t>
  </si>
  <si>
    <t>MR2[5:3]</t>
  </si>
  <si>
    <t>DFITIMG1</t>
  </si>
  <si>
    <t>DFITIMG2</t>
  </si>
  <si>
    <t>MR3[12:11]</t>
  </si>
  <si>
    <t>DFITIMG3</t>
  </si>
  <si>
    <t>MR3[10:9]</t>
  </si>
  <si>
    <t>MR3[8:6]</t>
  </si>
  <si>
    <t>MR3[5]</t>
  </si>
  <si>
    <t>MR0</t>
  </si>
  <si>
    <t>MR3[4]</t>
  </si>
  <si>
    <t>MR1</t>
  </si>
  <si>
    <t>MR3[3]</t>
  </si>
  <si>
    <t>MR2</t>
  </si>
  <si>
    <t>tMPX_LH_max</t>
  </si>
  <si>
    <t>MR3[2]</t>
  </si>
  <si>
    <t>MR3</t>
  </si>
  <si>
    <t>MR3[1:0]</t>
  </si>
  <si>
    <t>MR4</t>
  </si>
  <si>
    <t>MR5</t>
  </si>
  <si>
    <t>MR4[13]</t>
  </si>
  <si>
    <t>MR6</t>
  </si>
  <si>
    <t>MR4[12]</t>
  </si>
  <si>
    <t>MR4[11]</t>
  </si>
  <si>
    <t>MR4[10]</t>
  </si>
  <si>
    <t>MR4[9]</t>
  </si>
  <si>
    <t>tMPX_LH_min</t>
  </si>
  <si>
    <t>MR4[8:6]</t>
  </si>
  <si>
    <t>MR4[5]</t>
  </si>
  <si>
    <t>MR4[4]</t>
  </si>
  <si>
    <t>MR4[3]</t>
  </si>
  <si>
    <t>MR4[2]</t>
  </si>
  <si>
    <t>MR4[1]</t>
  </si>
  <si>
    <t>MR5[12]</t>
  </si>
  <si>
    <t>MR5[11]</t>
  </si>
  <si>
    <t>MR5[10]</t>
  </si>
  <si>
    <t>MR5[9]</t>
  </si>
  <si>
    <t>MR5[8:6]</t>
  </si>
  <si>
    <t>MR5[5]</t>
  </si>
  <si>
    <t>MR5[4]</t>
  </si>
  <si>
    <t>MR5[3]</t>
  </si>
  <si>
    <t>MR6[12:10]</t>
  </si>
  <si>
    <t>MR6[7]</t>
  </si>
  <si>
    <t>MR6[6]</t>
  </si>
  <si>
    <t>MR6[5:0]</t>
  </si>
  <si>
    <t>dfi_t_ctrl_delay</t>
  </si>
  <si>
    <t>dfi_rddata_use_dfi_phy_clk</t>
  </si>
  <si>
    <t>dfi_t_rddata_en</t>
  </si>
  <si>
    <t>dfi_wrdata_use_dfi_phy_clk</t>
  </si>
  <si>
    <t>dfi_tphy_wrdata</t>
  </si>
  <si>
    <t>dfi_tphy_wrlat</t>
  </si>
  <si>
    <t>dfi_t_cmd_lat</t>
  </si>
  <si>
    <t>dfi_t_parin_lat</t>
  </si>
  <si>
    <t>dfi_t_wrdata_delay</t>
  </si>
  <si>
    <t>dfi_t_dram_clk_disable</t>
  </si>
  <si>
    <t>dfi_t_dram_clk_enable</t>
  </si>
  <si>
    <t>dfi_tphy_rdcslat</t>
  </si>
  <si>
    <t>dfi_tphy_wrcslat</t>
  </si>
  <si>
    <t>dfi_t_geardown_delay</t>
  </si>
  <si>
    <t>dfi_frequency</t>
  </si>
  <si>
    <t>lp_optimized_write</t>
  </si>
  <si>
    <t>dis_dyn_adr_tri</t>
  </si>
  <si>
    <t>dfi_init_start</t>
  </si>
  <si>
    <t>ctl_idle_en</t>
  </si>
  <si>
    <t>share_dfi_dram_clk_disable</t>
  </si>
  <si>
    <t>dfi_data_cs_polarity</t>
  </si>
  <si>
    <t>phy_dbi_mode</t>
  </si>
  <si>
    <t>dfi_init_complete_en</t>
  </si>
  <si>
    <t>WR (WRITE recovery)/RTP (READ-to-PRECHARGE)</t>
  </si>
  <si>
    <t>Test mode</t>
  </si>
  <si>
    <t xml:space="preserve">CAS latency (CL) </t>
  </si>
  <si>
    <t>Burst type (BT)</t>
  </si>
  <si>
    <t>Burst length (BL)</t>
  </si>
  <si>
    <t xml:space="preserve">Data output disable (Qoff) </t>
  </si>
  <si>
    <t xml:space="preserve">Termination data strobe (TDQS) </t>
  </si>
  <si>
    <t xml:space="preserve">Nominal ODT (RTT(NOM) </t>
  </si>
  <si>
    <t>Write leveling (WL)</t>
  </si>
  <si>
    <t>DQ RX EQ</t>
  </si>
  <si>
    <t xml:space="preserve">Additive latency (AL) </t>
  </si>
  <si>
    <t>Output driver impedance (ODI)</t>
  </si>
  <si>
    <t>DLL enable</t>
  </si>
  <si>
    <t>WRITE data bus CRC</t>
  </si>
  <si>
    <t xml:space="preserve">Dynamic ODT (RTT(WR)) </t>
  </si>
  <si>
    <t>Low-power auto self refresh (LPASR)</t>
  </si>
  <si>
    <t xml:space="preserve">CAS WRITE latency (CWL) </t>
  </si>
  <si>
    <t xml:space="preserve">Multipurpose register (MPR) </t>
  </si>
  <si>
    <t>WRITE CMD latency when CRC/DM enabled</t>
  </si>
  <si>
    <t>Fine granularity refresh mode</t>
  </si>
  <si>
    <t>Temperature sensor status</t>
  </si>
  <si>
    <t>Per-DRAM addressability</t>
  </si>
  <si>
    <t>Gear-down mode</t>
  </si>
  <si>
    <t>MPR page select</t>
  </si>
  <si>
    <t>Multipurpose register (MPR) access</t>
  </si>
  <si>
    <t>Hard Post Package Repair (hPPR mode)</t>
  </si>
  <si>
    <t>WRITE preamble setting</t>
  </si>
  <si>
    <t>READ preamble setting</t>
  </si>
  <si>
    <t>READ preamble training</t>
  </si>
  <si>
    <t>Self refresh abort mode</t>
  </si>
  <si>
    <t>CMD (CAL) address latency</t>
  </si>
  <si>
    <t>soft Post Package Repair (sPPR mode)</t>
  </si>
  <si>
    <t>Internal VREF monitor</t>
  </si>
  <si>
    <t>Temperature controlled refresh mode</t>
  </si>
  <si>
    <t>Temperature controlled refresh range</t>
  </si>
  <si>
    <t>Maximum power savings mode</t>
  </si>
  <si>
    <t xml:space="preserve">Data bus inversion (DBI) </t>
  </si>
  <si>
    <t>Data bus inversion (DBI) – WRITE DBI enable</t>
  </si>
  <si>
    <t>Data mask (DM)</t>
  </si>
  <si>
    <t>CA parity persistent error mode</t>
  </si>
  <si>
    <t>Parked ODT value (RTT(Park))</t>
  </si>
  <si>
    <t>ODT input buffer for power-down</t>
  </si>
  <si>
    <t>CA parity error status</t>
  </si>
  <si>
    <t>CRC error status</t>
  </si>
  <si>
    <t>CA parity latency mode</t>
  </si>
  <si>
    <t>VREF Calibration Enable</t>
  </si>
  <si>
    <t>VREF Calibration Range</t>
  </si>
  <si>
    <t>VREF Calibration Value</t>
  </si>
  <si>
    <t>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</si>
</sst>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Helvetica"/>
    </font>
    <font>
      <sz val="11"/>
      <color rgb="FF00B0F0"/>
      <name val="Calibri"/>
      <family val="2"/>
      <scheme val="minor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1"/>
      <name val="Calibri"/>
      <family val="2"/>
      <scheme val="minor"/>
    </font>
    <font>
      <b/>
      <sz val="9"/>
      <color indexed="81"/>
      <name val="宋体"/>
      <charset val="1"/>
    </font>
    <font>
      <sz val="9"/>
      <color indexed="81"/>
      <name val="宋体"/>
      <charset val="1"/>
    </font>
    <font>
      <b/>
      <sz val="9"/>
      <color indexed="81"/>
      <name val="宋体"/>
    </font>
    <font>
      <sz val="9"/>
      <color indexed="81"/>
      <name val="宋体"/>
    </font>
    <font>
      <sz val="9"/>
      <color rgb="FF231F20"/>
      <name val="Frutiger-Black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NumberFormat="1" applyProtection="1">
      <protection locked="0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0" xfId="0" applyBorder="1"/>
    <xf numFmtId="0" fontId="3" fillId="3" borderId="0" xfId="0" applyFont="1" applyFill="1" applyBorder="1"/>
    <xf numFmtId="0" fontId="0" fillId="4" borderId="1" xfId="0" applyFill="1" applyBorder="1"/>
    <xf numFmtId="0" fontId="6" fillId="3" borderId="0" xfId="0" applyFont="1" applyFill="1"/>
    <xf numFmtId="0" fontId="11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390525</xdr:colOff>
      <xdr:row>0</xdr:row>
      <xdr:rowOff>9525</xdr:rowOff>
    </xdr:from>
    <xdr:to>
      <xdr:col>43</xdr:col>
      <xdr:colOff>237306</xdr:colOff>
      <xdr:row>11</xdr:row>
      <xdr:rowOff>123549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7925" y="9525"/>
          <a:ext cx="6552381" cy="22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12</xdr:row>
      <xdr:rowOff>19050</xdr:rowOff>
    </xdr:from>
    <xdr:to>
      <xdr:col>31</xdr:col>
      <xdr:colOff>303875</xdr:colOff>
      <xdr:row>30</xdr:row>
      <xdr:rowOff>66240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1675" y="2314575"/>
          <a:ext cx="7400000" cy="347619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30</xdr:row>
      <xdr:rowOff>28575</xdr:rowOff>
    </xdr:from>
    <xdr:to>
      <xdr:col>31</xdr:col>
      <xdr:colOff>294352</xdr:colOff>
      <xdr:row>60</xdr:row>
      <xdr:rowOff>18337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5753100"/>
          <a:ext cx="7380952" cy="5704762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59</xdr:row>
      <xdr:rowOff>180975</xdr:rowOff>
    </xdr:from>
    <xdr:to>
      <xdr:col>31</xdr:col>
      <xdr:colOff>265783</xdr:colOff>
      <xdr:row>88</xdr:row>
      <xdr:rowOff>85046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30250" y="11430000"/>
          <a:ext cx="7333333" cy="54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88</xdr:row>
      <xdr:rowOff>57150</xdr:rowOff>
    </xdr:from>
    <xdr:to>
      <xdr:col>31</xdr:col>
      <xdr:colOff>265783</xdr:colOff>
      <xdr:row>116</xdr:row>
      <xdr:rowOff>161245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0" y="16830675"/>
          <a:ext cx="7333333" cy="54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257175</xdr:colOff>
      <xdr:row>116</xdr:row>
      <xdr:rowOff>161925</xdr:rowOff>
    </xdr:from>
    <xdr:to>
      <xdr:col>31</xdr:col>
      <xdr:colOff>265784</xdr:colOff>
      <xdr:row>143</xdr:row>
      <xdr:rowOff>27949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39775" y="22269450"/>
          <a:ext cx="7323809" cy="50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142</xdr:row>
      <xdr:rowOff>180975</xdr:rowOff>
    </xdr:from>
    <xdr:to>
      <xdr:col>31</xdr:col>
      <xdr:colOff>275307</xdr:colOff>
      <xdr:row>172</xdr:row>
      <xdr:rowOff>65975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30250" y="27241500"/>
          <a:ext cx="7342857" cy="56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172</xdr:row>
      <xdr:rowOff>47625</xdr:rowOff>
    </xdr:from>
    <xdr:to>
      <xdr:col>31</xdr:col>
      <xdr:colOff>275305</xdr:colOff>
      <xdr:row>201</xdr:row>
      <xdr:rowOff>113601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11200" y="32823150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201</xdr:row>
      <xdr:rowOff>104775</xdr:rowOff>
    </xdr:from>
    <xdr:to>
      <xdr:col>31</xdr:col>
      <xdr:colOff>275305</xdr:colOff>
      <xdr:row>223</xdr:row>
      <xdr:rowOff>161394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11200" y="38404800"/>
          <a:ext cx="7361905" cy="42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223</xdr:row>
      <xdr:rowOff>123825</xdr:rowOff>
    </xdr:from>
    <xdr:to>
      <xdr:col>31</xdr:col>
      <xdr:colOff>265781</xdr:colOff>
      <xdr:row>253</xdr:row>
      <xdr:rowOff>46920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11200" y="42614850"/>
          <a:ext cx="7352381" cy="56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253</xdr:row>
      <xdr:rowOff>38100</xdr:rowOff>
    </xdr:from>
    <xdr:to>
      <xdr:col>31</xdr:col>
      <xdr:colOff>265780</xdr:colOff>
      <xdr:row>282</xdr:row>
      <xdr:rowOff>104076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01675" y="48244125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282</xdr:row>
      <xdr:rowOff>76200</xdr:rowOff>
    </xdr:from>
    <xdr:to>
      <xdr:col>31</xdr:col>
      <xdr:colOff>256257</xdr:colOff>
      <xdr:row>312</xdr:row>
      <xdr:rowOff>46914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11200" y="53806725"/>
          <a:ext cx="7342857" cy="56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0</xdr:row>
      <xdr:rowOff>104775</xdr:rowOff>
    </xdr:from>
    <xdr:to>
      <xdr:col>30</xdr:col>
      <xdr:colOff>476250</xdr:colOff>
      <xdr:row>9</xdr:row>
      <xdr:rowOff>76200</xdr:rowOff>
    </xdr:to>
    <xdr:pic>
      <xdr:nvPicPr>
        <xdr:cNvPr id="14" name="图片 13" descr="C:\Users\QISHUA~1.WAN\AppData\Local\Temp\企业微信截图_15856388638903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104775"/>
          <a:ext cx="68865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390525</xdr:colOff>
      <xdr:row>0</xdr:row>
      <xdr:rowOff>9525</xdr:rowOff>
    </xdr:from>
    <xdr:to>
      <xdr:col>43</xdr:col>
      <xdr:colOff>237306</xdr:colOff>
      <xdr:row>11</xdr:row>
      <xdr:rowOff>123549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7925" y="9525"/>
          <a:ext cx="6552381" cy="22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12</xdr:row>
      <xdr:rowOff>19050</xdr:rowOff>
    </xdr:from>
    <xdr:to>
      <xdr:col>31</xdr:col>
      <xdr:colOff>303875</xdr:colOff>
      <xdr:row>30</xdr:row>
      <xdr:rowOff>66240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1675" y="2314575"/>
          <a:ext cx="7400000" cy="347619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30</xdr:row>
      <xdr:rowOff>28575</xdr:rowOff>
    </xdr:from>
    <xdr:to>
      <xdr:col>31</xdr:col>
      <xdr:colOff>294352</xdr:colOff>
      <xdr:row>60</xdr:row>
      <xdr:rowOff>18337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5753100"/>
          <a:ext cx="7380952" cy="5704762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59</xdr:row>
      <xdr:rowOff>180975</xdr:rowOff>
    </xdr:from>
    <xdr:to>
      <xdr:col>31</xdr:col>
      <xdr:colOff>265783</xdr:colOff>
      <xdr:row>88</xdr:row>
      <xdr:rowOff>85046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30250" y="11430000"/>
          <a:ext cx="7333333" cy="54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88</xdr:row>
      <xdr:rowOff>57150</xdr:rowOff>
    </xdr:from>
    <xdr:to>
      <xdr:col>31</xdr:col>
      <xdr:colOff>265783</xdr:colOff>
      <xdr:row>116</xdr:row>
      <xdr:rowOff>161245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0" y="16830675"/>
          <a:ext cx="7333333" cy="54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257175</xdr:colOff>
      <xdr:row>116</xdr:row>
      <xdr:rowOff>161925</xdr:rowOff>
    </xdr:from>
    <xdr:to>
      <xdr:col>31</xdr:col>
      <xdr:colOff>265784</xdr:colOff>
      <xdr:row>143</xdr:row>
      <xdr:rowOff>27949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39775" y="22269450"/>
          <a:ext cx="7323809" cy="50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142</xdr:row>
      <xdr:rowOff>180975</xdr:rowOff>
    </xdr:from>
    <xdr:to>
      <xdr:col>31</xdr:col>
      <xdr:colOff>275307</xdr:colOff>
      <xdr:row>172</xdr:row>
      <xdr:rowOff>65975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30250" y="27241500"/>
          <a:ext cx="7342857" cy="56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172</xdr:row>
      <xdr:rowOff>47625</xdr:rowOff>
    </xdr:from>
    <xdr:to>
      <xdr:col>31</xdr:col>
      <xdr:colOff>275305</xdr:colOff>
      <xdr:row>201</xdr:row>
      <xdr:rowOff>113601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11200" y="32823150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201</xdr:row>
      <xdr:rowOff>104775</xdr:rowOff>
    </xdr:from>
    <xdr:to>
      <xdr:col>31</xdr:col>
      <xdr:colOff>275305</xdr:colOff>
      <xdr:row>223</xdr:row>
      <xdr:rowOff>161394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11200" y="38404800"/>
          <a:ext cx="7361905" cy="42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223</xdr:row>
      <xdr:rowOff>123825</xdr:rowOff>
    </xdr:from>
    <xdr:to>
      <xdr:col>31</xdr:col>
      <xdr:colOff>265781</xdr:colOff>
      <xdr:row>253</xdr:row>
      <xdr:rowOff>46920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11200" y="42614850"/>
          <a:ext cx="7352381" cy="56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253</xdr:row>
      <xdr:rowOff>38100</xdr:rowOff>
    </xdr:from>
    <xdr:to>
      <xdr:col>31</xdr:col>
      <xdr:colOff>265780</xdr:colOff>
      <xdr:row>282</xdr:row>
      <xdr:rowOff>104076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01675" y="48244125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282</xdr:row>
      <xdr:rowOff>76200</xdr:rowOff>
    </xdr:from>
    <xdr:to>
      <xdr:col>31</xdr:col>
      <xdr:colOff>256257</xdr:colOff>
      <xdr:row>312</xdr:row>
      <xdr:rowOff>46914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11200" y="53806725"/>
          <a:ext cx="7342857" cy="56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0</xdr:row>
      <xdr:rowOff>104775</xdr:rowOff>
    </xdr:from>
    <xdr:to>
      <xdr:col>30</xdr:col>
      <xdr:colOff>476250</xdr:colOff>
      <xdr:row>9</xdr:row>
      <xdr:rowOff>76200</xdr:rowOff>
    </xdr:to>
    <xdr:pic>
      <xdr:nvPicPr>
        <xdr:cNvPr id="14" name="图片 13" descr="C:\Users\QISHUA~1.WAN\AppData\Local\Temp\企业微信截图_15856388638903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104775"/>
          <a:ext cx="68865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390525</xdr:colOff>
      <xdr:row>0</xdr:row>
      <xdr:rowOff>9525</xdr:rowOff>
    </xdr:from>
    <xdr:to>
      <xdr:col>45</xdr:col>
      <xdr:colOff>237306</xdr:colOff>
      <xdr:row>11</xdr:row>
      <xdr:rowOff>123549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9525"/>
          <a:ext cx="6552381" cy="2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219075</xdr:colOff>
      <xdr:row>12</xdr:row>
      <xdr:rowOff>19050</xdr:rowOff>
    </xdr:from>
    <xdr:to>
      <xdr:col>33</xdr:col>
      <xdr:colOff>303875</xdr:colOff>
      <xdr:row>28</xdr:row>
      <xdr:rowOff>66240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2314575"/>
          <a:ext cx="7400000" cy="347619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30</xdr:row>
      <xdr:rowOff>28575</xdr:rowOff>
    </xdr:from>
    <xdr:to>
      <xdr:col>33</xdr:col>
      <xdr:colOff>294352</xdr:colOff>
      <xdr:row>59</xdr:row>
      <xdr:rowOff>94537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2525" y="5753100"/>
          <a:ext cx="7380952" cy="5704762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59</xdr:row>
      <xdr:rowOff>180975</xdr:rowOff>
    </xdr:from>
    <xdr:to>
      <xdr:col>33</xdr:col>
      <xdr:colOff>265783</xdr:colOff>
      <xdr:row>86</xdr:row>
      <xdr:rowOff>199346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01575" y="11430000"/>
          <a:ext cx="7333333" cy="5428571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88</xdr:row>
      <xdr:rowOff>57150</xdr:rowOff>
    </xdr:from>
    <xdr:to>
      <xdr:col>33</xdr:col>
      <xdr:colOff>265783</xdr:colOff>
      <xdr:row>112</xdr:row>
      <xdr:rowOff>123145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01575" y="17364075"/>
          <a:ext cx="7333333" cy="54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121</xdr:row>
      <xdr:rowOff>161925</xdr:rowOff>
    </xdr:from>
    <xdr:to>
      <xdr:col>33</xdr:col>
      <xdr:colOff>265784</xdr:colOff>
      <xdr:row>148</xdr:row>
      <xdr:rowOff>27949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11100" y="24555450"/>
          <a:ext cx="7323809" cy="50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147</xdr:row>
      <xdr:rowOff>180975</xdr:rowOff>
    </xdr:from>
    <xdr:to>
      <xdr:col>33</xdr:col>
      <xdr:colOff>275307</xdr:colOff>
      <xdr:row>177</xdr:row>
      <xdr:rowOff>65975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01575" y="29527500"/>
          <a:ext cx="7342857" cy="56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177</xdr:row>
      <xdr:rowOff>47625</xdr:rowOff>
    </xdr:from>
    <xdr:to>
      <xdr:col>33</xdr:col>
      <xdr:colOff>275305</xdr:colOff>
      <xdr:row>206</xdr:row>
      <xdr:rowOff>113601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82525" y="35109150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206</xdr:row>
      <xdr:rowOff>104775</xdr:rowOff>
    </xdr:from>
    <xdr:to>
      <xdr:col>33</xdr:col>
      <xdr:colOff>275305</xdr:colOff>
      <xdr:row>228</xdr:row>
      <xdr:rowOff>161394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82525" y="40690800"/>
          <a:ext cx="7361905" cy="42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228</xdr:row>
      <xdr:rowOff>123825</xdr:rowOff>
    </xdr:from>
    <xdr:to>
      <xdr:col>33</xdr:col>
      <xdr:colOff>265781</xdr:colOff>
      <xdr:row>258</xdr:row>
      <xdr:rowOff>46920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2525" y="44900850"/>
          <a:ext cx="7352381" cy="56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219075</xdr:colOff>
      <xdr:row>258</xdr:row>
      <xdr:rowOff>38100</xdr:rowOff>
    </xdr:from>
    <xdr:to>
      <xdr:col>33</xdr:col>
      <xdr:colOff>265780</xdr:colOff>
      <xdr:row>287</xdr:row>
      <xdr:rowOff>104076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73000" y="50530125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287</xdr:row>
      <xdr:rowOff>76200</xdr:rowOff>
    </xdr:from>
    <xdr:to>
      <xdr:col>33</xdr:col>
      <xdr:colOff>256257</xdr:colOff>
      <xdr:row>317</xdr:row>
      <xdr:rowOff>46914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82525" y="56092725"/>
          <a:ext cx="7342857" cy="5685714"/>
        </a:xfrm>
        <a:prstGeom prst="rect">
          <a:avLst/>
        </a:prstGeom>
      </xdr:spPr>
    </xdr:pic>
    <xdr:clientData/>
  </xdr:twoCellAnchor>
  <xdr:twoCellAnchor editAs="oneCell">
    <xdr:from>
      <xdr:col>21</xdr:col>
      <xdr:colOff>295275</xdr:colOff>
      <xdr:row>0</xdr:row>
      <xdr:rowOff>104775</xdr:rowOff>
    </xdr:from>
    <xdr:to>
      <xdr:col>32</xdr:col>
      <xdr:colOff>476250</xdr:colOff>
      <xdr:row>9</xdr:row>
      <xdr:rowOff>76200</xdr:rowOff>
    </xdr:to>
    <xdr:pic>
      <xdr:nvPicPr>
        <xdr:cNvPr id="14" name="图片 13" descr="C:\Users\QISHUA~1.WAN\AppData\Local\Temp\企业微信截图_15856388638903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4775"/>
          <a:ext cx="68865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65</xdr:row>
      <xdr:rowOff>38100</xdr:rowOff>
    </xdr:from>
    <xdr:to>
      <xdr:col>20</xdr:col>
      <xdr:colOff>532612</xdr:colOff>
      <xdr:row>88</xdr:row>
      <xdr:rowOff>285105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72175" y="12430125"/>
          <a:ext cx="6304762" cy="5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390525</xdr:colOff>
      <xdr:row>0</xdr:row>
      <xdr:rowOff>9525</xdr:rowOff>
    </xdr:from>
    <xdr:to>
      <xdr:col>45</xdr:col>
      <xdr:colOff>237306</xdr:colOff>
      <xdr:row>11</xdr:row>
      <xdr:rowOff>133074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9525"/>
          <a:ext cx="6552381" cy="2219049"/>
        </a:xfrm>
        <a:prstGeom prst="rect">
          <a:avLst/>
        </a:prstGeom>
      </xdr:spPr>
    </xdr:pic>
    <xdr:clientData/>
  </xdr:twoCellAnchor>
  <xdr:twoCellAnchor editAs="oneCell">
    <xdr:from>
      <xdr:col>21</xdr:col>
      <xdr:colOff>219075</xdr:colOff>
      <xdr:row>12</xdr:row>
      <xdr:rowOff>19050</xdr:rowOff>
    </xdr:from>
    <xdr:to>
      <xdr:col>33</xdr:col>
      <xdr:colOff>303875</xdr:colOff>
      <xdr:row>30</xdr:row>
      <xdr:rowOff>66240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2314575"/>
          <a:ext cx="7400000" cy="347619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30</xdr:row>
      <xdr:rowOff>28575</xdr:rowOff>
    </xdr:from>
    <xdr:to>
      <xdr:col>33</xdr:col>
      <xdr:colOff>294352</xdr:colOff>
      <xdr:row>60</xdr:row>
      <xdr:rowOff>18337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2525" y="5753100"/>
          <a:ext cx="7380952" cy="5704762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59</xdr:row>
      <xdr:rowOff>180975</xdr:rowOff>
    </xdr:from>
    <xdr:to>
      <xdr:col>33</xdr:col>
      <xdr:colOff>265783</xdr:colOff>
      <xdr:row>88</xdr:row>
      <xdr:rowOff>85046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01575" y="11430000"/>
          <a:ext cx="7333333" cy="5428571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88</xdr:row>
      <xdr:rowOff>57150</xdr:rowOff>
    </xdr:from>
    <xdr:to>
      <xdr:col>33</xdr:col>
      <xdr:colOff>265783</xdr:colOff>
      <xdr:row>116</xdr:row>
      <xdr:rowOff>161245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01575" y="17364075"/>
          <a:ext cx="7333333" cy="54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121</xdr:row>
      <xdr:rowOff>161925</xdr:rowOff>
    </xdr:from>
    <xdr:to>
      <xdr:col>33</xdr:col>
      <xdr:colOff>265784</xdr:colOff>
      <xdr:row>148</xdr:row>
      <xdr:rowOff>27949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11100" y="24555450"/>
          <a:ext cx="7323809" cy="50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147</xdr:row>
      <xdr:rowOff>180975</xdr:rowOff>
    </xdr:from>
    <xdr:to>
      <xdr:col>33</xdr:col>
      <xdr:colOff>275307</xdr:colOff>
      <xdr:row>177</xdr:row>
      <xdr:rowOff>65975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01575" y="29527500"/>
          <a:ext cx="7342857" cy="56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177</xdr:row>
      <xdr:rowOff>47625</xdr:rowOff>
    </xdr:from>
    <xdr:to>
      <xdr:col>33</xdr:col>
      <xdr:colOff>275305</xdr:colOff>
      <xdr:row>206</xdr:row>
      <xdr:rowOff>113601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82525" y="35109150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206</xdr:row>
      <xdr:rowOff>104775</xdr:rowOff>
    </xdr:from>
    <xdr:to>
      <xdr:col>33</xdr:col>
      <xdr:colOff>275305</xdr:colOff>
      <xdr:row>228</xdr:row>
      <xdr:rowOff>161394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82525" y="40690800"/>
          <a:ext cx="7361905" cy="42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228</xdr:row>
      <xdr:rowOff>123825</xdr:rowOff>
    </xdr:from>
    <xdr:to>
      <xdr:col>33</xdr:col>
      <xdr:colOff>265781</xdr:colOff>
      <xdr:row>258</xdr:row>
      <xdr:rowOff>46920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2525" y="44900850"/>
          <a:ext cx="7352381" cy="56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219075</xdr:colOff>
      <xdr:row>258</xdr:row>
      <xdr:rowOff>38100</xdr:rowOff>
    </xdr:from>
    <xdr:to>
      <xdr:col>33</xdr:col>
      <xdr:colOff>265780</xdr:colOff>
      <xdr:row>287</xdr:row>
      <xdr:rowOff>104076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73000" y="50530125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287</xdr:row>
      <xdr:rowOff>76200</xdr:rowOff>
    </xdr:from>
    <xdr:to>
      <xdr:col>33</xdr:col>
      <xdr:colOff>256257</xdr:colOff>
      <xdr:row>317</xdr:row>
      <xdr:rowOff>46914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82525" y="56092725"/>
          <a:ext cx="7342857" cy="5685714"/>
        </a:xfrm>
        <a:prstGeom prst="rect">
          <a:avLst/>
        </a:prstGeom>
      </xdr:spPr>
    </xdr:pic>
    <xdr:clientData/>
  </xdr:twoCellAnchor>
  <xdr:twoCellAnchor editAs="oneCell">
    <xdr:from>
      <xdr:col>21</xdr:col>
      <xdr:colOff>295275</xdr:colOff>
      <xdr:row>0</xdr:row>
      <xdr:rowOff>104775</xdr:rowOff>
    </xdr:from>
    <xdr:to>
      <xdr:col>32</xdr:col>
      <xdr:colOff>476250</xdr:colOff>
      <xdr:row>9</xdr:row>
      <xdr:rowOff>85725</xdr:rowOff>
    </xdr:to>
    <xdr:pic>
      <xdr:nvPicPr>
        <xdr:cNvPr id="14" name="图片 13" descr="C:\Users\QISHUA~1.WAN\AppData\Local\Temp\企业微信截图_15856388638903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4775"/>
          <a:ext cx="6886575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65</xdr:row>
      <xdr:rowOff>38100</xdr:rowOff>
    </xdr:from>
    <xdr:to>
      <xdr:col>20</xdr:col>
      <xdr:colOff>532612</xdr:colOff>
      <xdr:row>92</xdr:row>
      <xdr:rowOff>56505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72175" y="12430125"/>
          <a:ext cx="6304762" cy="51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390525</xdr:colOff>
      <xdr:row>0</xdr:row>
      <xdr:rowOff>9525</xdr:rowOff>
    </xdr:from>
    <xdr:to>
      <xdr:col>44</xdr:col>
      <xdr:colOff>237306</xdr:colOff>
      <xdr:row>11</xdr:row>
      <xdr:rowOff>133074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9525"/>
          <a:ext cx="6552381" cy="2219049"/>
        </a:xfrm>
        <a:prstGeom prst="rect">
          <a:avLst/>
        </a:prstGeom>
      </xdr:spPr>
    </xdr:pic>
    <xdr:clientData/>
  </xdr:twoCellAnchor>
  <xdr:twoCellAnchor editAs="oneCell">
    <xdr:from>
      <xdr:col>20</xdr:col>
      <xdr:colOff>219075</xdr:colOff>
      <xdr:row>12</xdr:row>
      <xdr:rowOff>19050</xdr:rowOff>
    </xdr:from>
    <xdr:to>
      <xdr:col>32</xdr:col>
      <xdr:colOff>303875</xdr:colOff>
      <xdr:row>30</xdr:row>
      <xdr:rowOff>66240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2314575"/>
          <a:ext cx="7400000" cy="3476190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30</xdr:row>
      <xdr:rowOff>28575</xdr:rowOff>
    </xdr:from>
    <xdr:to>
      <xdr:col>32</xdr:col>
      <xdr:colOff>294352</xdr:colOff>
      <xdr:row>60</xdr:row>
      <xdr:rowOff>18337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2525" y="5753100"/>
          <a:ext cx="7380952" cy="5704762"/>
        </a:xfrm>
        <a:prstGeom prst="rect">
          <a:avLst/>
        </a:prstGeom>
      </xdr:spPr>
    </xdr:pic>
    <xdr:clientData/>
  </xdr:twoCellAnchor>
  <xdr:twoCellAnchor editAs="oneCell">
    <xdr:from>
      <xdr:col>20</xdr:col>
      <xdr:colOff>247650</xdr:colOff>
      <xdr:row>59</xdr:row>
      <xdr:rowOff>180975</xdr:rowOff>
    </xdr:from>
    <xdr:to>
      <xdr:col>32</xdr:col>
      <xdr:colOff>265783</xdr:colOff>
      <xdr:row>88</xdr:row>
      <xdr:rowOff>85046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01575" y="11430000"/>
          <a:ext cx="7333333" cy="54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247650</xdr:colOff>
      <xdr:row>88</xdr:row>
      <xdr:rowOff>57150</xdr:rowOff>
    </xdr:from>
    <xdr:to>
      <xdr:col>32</xdr:col>
      <xdr:colOff>265783</xdr:colOff>
      <xdr:row>116</xdr:row>
      <xdr:rowOff>161245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01575" y="17364075"/>
          <a:ext cx="7333333" cy="5438095"/>
        </a:xfrm>
        <a:prstGeom prst="rect">
          <a:avLst/>
        </a:prstGeom>
      </xdr:spPr>
    </xdr:pic>
    <xdr:clientData/>
  </xdr:twoCellAnchor>
  <xdr:twoCellAnchor editAs="oneCell">
    <xdr:from>
      <xdr:col>20</xdr:col>
      <xdr:colOff>257175</xdr:colOff>
      <xdr:row>121</xdr:row>
      <xdr:rowOff>161925</xdr:rowOff>
    </xdr:from>
    <xdr:to>
      <xdr:col>32</xdr:col>
      <xdr:colOff>265784</xdr:colOff>
      <xdr:row>148</xdr:row>
      <xdr:rowOff>27949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11100" y="24555450"/>
          <a:ext cx="7323809" cy="5009524"/>
        </a:xfrm>
        <a:prstGeom prst="rect">
          <a:avLst/>
        </a:prstGeom>
      </xdr:spPr>
    </xdr:pic>
    <xdr:clientData/>
  </xdr:twoCellAnchor>
  <xdr:twoCellAnchor editAs="oneCell">
    <xdr:from>
      <xdr:col>20</xdr:col>
      <xdr:colOff>247650</xdr:colOff>
      <xdr:row>147</xdr:row>
      <xdr:rowOff>180975</xdr:rowOff>
    </xdr:from>
    <xdr:to>
      <xdr:col>32</xdr:col>
      <xdr:colOff>275307</xdr:colOff>
      <xdr:row>177</xdr:row>
      <xdr:rowOff>65975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01575" y="29527500"/>
          <a:ext cx="7342857" cy="5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177</xdr:row>
      <xdr:rowOff>47625</xdr:rowOff>
    </xdr:from>
    <xdr:to>
      <xdr:col>32</xdr:col>
      <xdr:colOff>275305</xdr:colOff>
      <xdr:row>206</xdr:row>
      <xdr:rowOff>113601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82525" y="35109150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206</xdr:row>
      <xdr:rowOff>104775</xdr:rowOff>
    </xdr:from>
    <xdr:to>
      <xdr:col>32</xdr:col>
      <xdr:colOff>275305</xdr:colOff>
      <xdr:row>228</xdr:row>
      <xdr:rowOff>161394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82525" y="40690800"/>
          <a:ext cx="7361905" cy="4247619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228</xdr:row>
      <xdr:rowOff>123825</xdr:rowOff>
    </xdr:from>
    <xdr:to>
      <xdr:col>32</xdr:col>
      <xdr:colOff>265781</xdr:colOff>
      <xdr:row>258</xdr:row>
      <xdr:rowOff>46920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2525" y="44900850"/>
          <a:ext cx="7352381" cy="5638095"/>
        </a:xfrm>
        <a:prstGeom prst="rect">
          <a:avLst/>
        </a:prstGeom>
      </xdr:spPr>
    </xdr:pic>
    <xdr:clientData/>
  </xdr:twoCellAnchor>
  <xdr:twoCellAnchor editAs="oneCell">
    <xdr:from>
      <xdr:col>20</xdr:col>
      <xdr:colOff>219075</xdr:colOff>
      <xdr:row>258</xdr:row>
      <xdr:rowOff>38100</xdr:rowOff>
    </xdr:from>
    <xdr:to>
      <xdr:col>32</xdr:col>
      <xdr:colOff>265780</xdr:colOff>
      <xdr:row>287</xdr:row>
      <xdr:rowOff>104076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73000" y="50530125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287</xdr:row>
      <xdr:rowOff>76200</xdr:rowOff>
    </xdr:from>
    <xdr:to>
      <xdr:col>32</xdr:col>
      <xdr:colOff>256257</xdr:colOff>
      <xdr:row>317</xdr:row>
      <xdr:rowOff>46914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82525" y="56092725"/>
          <a:ext cx="7342857" cy="56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295275</xdr:colOff>
      <xdr:row>0</xdr:row>
      <xdr:rowOff>104775</xdr:rowOff>
    </xdr:from>
    <xdr:to>
      <xdr:col>31</xdr:col>
      <xdr:colOff>476250</xdr:colOff>
      <xdr:row>9</xdr:row>
      <xdr:rowOff>85725</xdr:rowOff>
    </xdr:to>
    <xdr:pic>
      <xdr:nvPicPr>
        <xdr:cNvPr id="14" name="图片 13" descr="C:\Users\QISHUA~1.WAN\AppData\Local\Temp\企业微信截图_15856388638903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4775"/>
          <a:ext cx="6886575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65</xdr:row>
      <xdr:rowOff>38100</xdr:rowOff>
    </xdr:from>
    <xdr:to>
      <xdr:col>19</xdr:col>
      <xdr:colOff>532612</xdr:colOff>
      <xdr:row>92</xdr:row>
      <xdr:rowOff>56505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72175" y="12430125"/>
          <a:ext cx="6304762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6"/>
  <sheetViews>
    <sheetView workbookViewId="0">
      <selection activeCell="J24" sqref="J24"/>
    </sheetView>
  </sheetViews>
  <sheetFormatPr defaultRowHeight="15"/>
  <cols>
    <col min="1" max="1" width="19.7109375" bestFit="1" customWidth="1"/>
    <col min="6" max="6" width="15.7109375" bestFit="1" customWidth="1"/>
    <col min="8" max="8" width="10.5703125" bestFit="1" customWidth="1"/>
    <col min="10" max="10" width="10.42578125" bestFit="1" customWidth="1"/>
    <col min="16" max="16" width="12.42578125" bestFit="1" customWidth="1"/>
    <col min="17" max="17" width="10" bestFit="1" customWidth="1"/>
  </cols>
  <sheetData>
    <row r="1" spans="1:19">
      <c r="A1" t="s">
        <v>0</v>
      </c>
      <c r="B1">
        <f>IF((G1),ROUND(((((E1+(E2/2))*2000/M1)+(E3))/2),0),(ROUNDUP(((((E1+(E2/2))*2000/M1)+(E3))/2),0)))</f>
        <v>23</v>
      </c>
      <c r="C1" t="str">
        <f>DEC2HEX(B1)</f>
        <v>17</v>
      </c>
      <c r="D1" t="s">
        <v>1</v>
      </c>
      <c r="E1">
        <f>(I1+I2+I3)</f>
        <v>36</v>
      </c>
      <c r="F1" t="s">
        <v>2</v>
      </c>
      <c r="G1" s="1">
        <v>0</v>
      </c>
      <c r="H1" t="s">
        <v>3</v>
      </c>
      <c r="I1">
        <f>I4-G4</f>
        <v>20</v>
      </c>
      <c r="J1" t="s">
        <v>4</v>
      </c>
      <c r="K1">
        <f>IF((G2),(IF(M1&lt;=2133,(1),(IF(M1&lt;=2666,(2),(IF(M1&lt;=3200,(3),("RFU"))))))),0)</f>
        <v>0</v>
      </c>
      <c r="L1" t="s">
        <v>5</v>
      </c>
      <c r="M1" s="1">
        <v>2666</v>
      </c>
      <c r="N1" s="1"/>
      <c r="O1" s="1"/>
      <c r="P1" s="1"/>
      <c r="Q1" s="1"/>
      <c r="R1" s="1"/>
      <c r="S1" s="1"/>
    </row>
    <row r="2" spans="1:19">
      <c r="A2" t="s">
        <v>6</v>
      </c>
      <c r="B2">
        <f>IF(G5,ROUNDUP(E4/2,0),E4)</f>
        <v>11</v>
      </c>
      <c r="C2" t="str">
        <f t="shared" ref="C2:C64" si="0">DEC2HEX(B2)</f>
        <v>B</v>
      </c>
      <c r="D2" t="s">
        <v>7</v>
      </c>
      <c r="E2" s="1">
        <v>8</v>
      </c>
      <c r="F2" t="s">
        <v>8</v>
      </c>
      <c r="G2" s="1">
        <v>0</v>
      </c>
      <c r="H2" t="s">
        <v>9</v>
      </c>
      <c r="I2">
        <f>IF(K1=0,0,(IF(K1=1,(4),(IF(K1=2,(5),(IF(K1=3,(6),("FRU"))))))))</f>
        <v>0</v>
      </c>
      <c r="J2" t="s">
        <v>10</v>
      </c>
      <c r="K2">
        <f>G4</f>
        <v>0</v>
      </c>
      <c r="L2" t="s">
        <v>11</v>
      </c>
      <c r="M2">
        <f>2000/M1</f>
        <v>0.75018754688672173</v>
      </c>
      <c r="P2" s="2" t="s">
        <v>12</v>
      </c>
      <c r="Q2" s="2" t="str">
        <f>DEC2HEX(B4+B3*POWER(2,8)+B2*POWER(2,16)+B1*POWER(2,24),8)</f>
        <v>170B2D10</v>
      </c>
    </row>
    <row r="3" spans="1:19">
      <c r="A3" t="s">
        <v>13</v>
      </c>
      <c r="B3">
        <f>IF(G5,(ROUNDDOWN(ROUNDDOWN((((E6/M2/1024)-1)/2),0),0)),(ROUNDDOWN((E6/M2/1024),0)))</f>
        <v>45</v>
      </c>
      <c r="C3" t="str">
        <f t="shared" si="0"/>
        <v>2D</v>
      </c>
      <c r="D3" t="s">
        <v>14</v>
      </c>
      <c r="E3">
        <v>15</v>
      </c>
      <c r="F3" t="s">
        <v>15</v>
      </c>
      <c r="G3" s="1">
        <v>0</v>
      </c>
      <c r="H3" t="s">
        <v>16</v>
      </c>
      <c r="I3">
        <f>IF(G8,(IF(G1,(IF(M1&lt;=1600,(11),(IF(M1&lt;=1866,(12),(IF(M1&lt;=2133,(14),(IF(M1&lt;=2400,(16),(IF(M1&lt;=2666,(18),(IF(M1&lt;=2933,(20),(IF(M1&lt;=3200,(20),(12))))))))))))))),(IF(M1&lt;=1600,("N/A"),(IF(M1&lt;=1866,("N/A"),(IF(M1&lt;=2133,("N/A"),(IF(M1&lt;=2400,(16),(IF(M1&lt;=2666,(18),(IF(M1&lt;=2933,(20),(IF(M1&lt;=3200,(20),(12))))))))))))))))),(IF(G1,(IF(M1&lt;=1600,(9),(IF(M1&lt;=1866,(10),(IF(M1&lt;=2133,(11),(IF(M1&lt;=2400,(12),(IF(M1&lt;=2666,(14),(IF(M1&lt;=2933,(16),(IF(M1&lt;=3200,(16),("N/A"))))))))))))))),(IF(M1&lt;=1600,("N/A"),(IF(M1&lt;=1866,("N/A"),(IF(M1&lt;=2133,("N/A"),(IF(M1&lt;=2400,(14),(IF(M1&lt;=2666,(16),(IF(M1&lt;=2933,(18),(IF(M1&lt;=3200,(18),("N/A"))))))))))))))))))</f>
        <v>16</v>
      </c>
      <c r="P3" s="2" t="s">
        <v>17</v>
      </c>
      <c r="Q3" s="2" t="str">
        <f>DEC2HEX(B8+B7*POWER(2,8)+B6*POWER(2,16),8)</f>
        <v>00040D1F</v>
      </c>
    </row>
    <row r="4" spans="1:19">
      <c r="A4" t="s">
        <v>18</v>
      </c>
      <c r="B4">
        <f>IF(G5,IF(G1,(E5/2),ROUNDUP(E5/2,0)),E5)</f>
        <v>16</v>
      </c>
      <c r="C4" t="str">
        <f t="shared" si="0"/>
        <v>10</v>
      </c>
      <c r="D4" t="s">
        <v>19</v>
      </c>
      <c r="E4" s="3">
        <f>IF((G6=2),(IF((M1&lt;=2400),(IF(((28*M2)-35),(ROUNDUP((28*M2),0)),(35))),(IF(((28*M2)-30),(ROUNDUP((28*M2),0)),(30))))),IF((G6=1),(IF((M1&lt;=2400),(IF(((20*M2)-25),(ROUNDUP((20*M2),0)),(25))),(IF(((20*M2)-21),(ROUNDUP((20*M2),0)),(21))))),IF((G6=0),(IF((M1&lt;=2400),(IF(((16*M2)-20),(ROUNDUP((16*M2),0)),(20))),(IF(((16*M2)-12),(ROUNDUP((16*M2),0)),(12))))),"N/A")))</f>
        <v>22</v>
      </c>
      <c r="F4" t="s">
        <v>20</v>
      </c>
      <c r="G4" s="1">
        <v>0</v>
      </c>
      <c r="H4" t="s">
        <v>21</v>
      </c>
      <c r="I4">
        <f>IF(G3,(IF(M1&lt;=1600,(14),(IF(M1&lt;=1866,(16),(IF(M1&lt;=2133,(19),(IF(M1&lt;=2400,(21),(IF(M1&lt;=2666,(23),(IF(M1&lt;=2933,(26),(IF(M1&lt;=3200,(28),("N/A"))))))))))))))),(IF(M1&lt;=1600,(12),(IF(M1&lt;=1866,(14),(IF(M1&lt;=2133,(16),(IF(M1&lt;=2400,(18),(IF(M1&lt;=2666,(20),(IF(M1&lt;=2933,(22),(IF(M1&lt;=3200,(24),("N/A"))))))))))))))))</f>
        <v>20</v>
      </c>
      <c r="P4" s="2" t="s">
        <v>22</v>
      </c>
      <c r="Q4" s="2" t="str">
        <f>DEC2HEX(B13+B12*POWER(2,8)+B11*POWER(2,16)+B10*POWER(2,24),8)</f>
        <v>1214050F</v>
      </c>
    </row>
    <row r="5" spans="1:19" ht="13.5" customHeight="1">
      <c r="D5" s="4" t="s">
        <v>23</v>
      </c>
      <c r="E5">
        <f>(IF(M1&lt;=1600,(35),(IF(M1&lt;=1866,(34),(IF(M1&lt;=2133,(33),(IF(M1&lt;=2400,(32),(IF(M1&lt;=2666,(32),(IF(M1&lt;=2933,(32),(IF(M1&lt;=3200,(32),("N/A")))))))))))))))</f>
        <v>32</v>
      </c>
      <c r="F5" s="3" t="s">
        <v>24</v>
      </c>
      <c r="G5" s="1">
        <v>1</v>
      </c>
      <c r="H5" t="s">
        <v>25</v>
      </c>
      <c r="I5">
        <v>7.8</v>
      </c>
      <c r="P5" s="2" t="s">
        <v>26</v>
      </c>
      <c r="Q5" s="2" t="str">
        <f>DEC2HEX(B17+B16*POWER(2,12)+B15*POWER(2,20),8)</f>
        <v>0050400C</v>
      </c>
    </row>
    <row r="6" spans="1:19" ht="17.25" customHeight="1">
      <c r="A6" t="s">
        <v>27</v>
      </c>
      <c r="B6">
        <f>IF(G2,(IF(G5,(I8/2),ROUNDUP(I8/2,0)))+I2,(IF(G5,(I8/2),ROUNDUP(I8/2,0))))</f>
        <v>4</v>
      </c>
      <c r="C6" t="str">
        <f t="shared" si="0"/>
        <v>4</v>
      </c>
      <c r="D6" s="4" t="s">
        <v>28</v>
      </c>
      <c r="E6">
        <f>9*I6*1000</f>
        <v>70200</v>
      </c>
      <c r="F6" s="5" t="s">
        <v>29</v>
      </c>
      <c r="G6" s="1">
        <v>2</v>
      </c>
      <c r="H6" t="s">
        <v>30</v>
      </c>
      <c r="I6">
        <f>(I5/(POWER(2,G7)))</f>
        <v>7.8</v>
      </c>
      <c r="P6" s="2" t="s">
        <v>31</v>
      </c>
      <c r="Q6" s="2" t="str">
        <f>DEC2HEX(B22+B21*POWER(2,8)+B20*POWER(2,16)+B19*POWER(2,24),8)</f>
        <v>0A04040A</v>
      </c>
    </row>
    <row r="7" spans="1:19">
      <c r="A7" t="s">
        <v>32</v>
      </c>
      <c r="B7">
        <f>IF(G5=0,(IF(I9-(E7+E2/2-(ROUNDUP(I10/M2,0)))&gt;0,I9,(E7+E2/2-(ROUNDUP(I10/M2,0))))),(IF(G1=1,ROUNDDOWN(IF(I9-(E7+E2/2-(ROUNDUP(I10/M2,0)))&gt;0,I9,(E7+E2/2-(ROUNDUP(I10/M2,0))))/2,0),ROUNDUP((IF(I9-(E7+E2/2-(ROUNDUP(I10/M2,0)))&gt;0,I9,(E7+E2/2-(ROUNDUP(I10/M2,0)))))/2,0))))</f>
        <v>13</v>
      </c>
      <c r="C7" t="str">
        <f t="shared" si="0"/>
        <v>D</v>
      </c>
      <c r="D7" t="s">
        <v>33</v>
      </c>
      <c r="E7">
        <f>I1+I4</f>
        <v>40</v>
      </c>
      <c r="F7" t="s">
        <v>34</v>
      </c>
      <c r="G7" s="1">
        <v>0</v>
      </c>
      <c r="H7" t="s">
        <v>30</v>
      </c>
      <c r="I7">
        <f>(I5/(POWER(2,G7+1)))</f>
        <v>3.9</v>
      </c>
      <c r="P7" s="2" t="s">
        <v>35</v>
      </c>
      <c r="Q7" s="2" t="str">
        <f>DEC2HEX(B27+B26*POWER(2,8)+B25*POWER(2,16)+B24*POWER(2,24),8)</f>
        <v>07070404</v>
      </c>
    </row>
    <row r="8" spans="1:19">
      <c r="A8" t="s">
        <v>36</v>
      </c>
      <c r="B8">
        <f>IF(G5=0,ROUNDUP(I11/M2,0),IF(G1=1,ROUNDDOWN(ROUNDUP(I11/M2,0)/2,0),ROUNDUP(ROUNDUP(I11/M2,0)/2,0)))</f>
        <v>31</v>
      </c>
      <c r="C8" t="str">
        <f t="shared" si="0"/>
        <v>1F</v>
      </c>
      <c r="F8" t="s">
        <v>37</v>
      </c>
      <c r="G8" s="1">
        <v>0</v>
      </c>
      <c r="H8" s="6" t="s">
        <v>38</v>
      </c>
      <c r="I8">
        <f>ROUNDUP(IF(((6/M2)-4)&gt;0,(6/M2),4),0)</f>
        <v>8</v>
      </c>
      <c r="P8" s="2" t="s">
        <v>39</v>
      </c>
      <c r="Q8" s="2" t="str">
        <f>DEC2HEX(B31+B30*POWER(2,16)+B29*POWER(2,24),8)</f>
        <v>02020005</v>
      </c>
    </row>
    <row r="9" spans="1:19">
      <c r="F9" t="s">
        <v>40</v>
      </c>
      <c r="G9" s="1">
        <v>160</v>
      </c>
      <c r="H9" s="4" t="s">
        <v>41</v>
      </c>
      <c r="I9">
        <f>ROUNDUP(IF(((7.5/M2)-4)&gt;0,(7.5/M2),4),0)</f>
        <v>10</v>
      </c>
      <c r="P9" s="2" t="s">
        <v>42</v>
      </c>
      <c r="Q9" s="2" t="str">
        <f>DEC2HEX(B34+B33*POWER(2,8),8)</f>
        <v>00000707</v>
      </c>
    </row>
    <row r="10" spans="1:19">
      <c r="A10" t="s">
        <v>43</v>
      </c>
      <c r="B10">
        <f>IF(G5=0,E1,ROUNDUP(E1/2,0))</f>
        <v>18</v>
      </c>
      <c r="C10" t="str">
        <f t="shared" si="0"/>
        <v>12</v>
      </c>
      <c r="F10" t="s">
        <v>44</v>
      </c>
      <c r="G10" s="1">
        <v>350</v>
      </c>
      <c r="H10" s="4" t="s">
        <v>45</v>
      </c>
      <c r="I10">
        <f>(IF(M1&lt;=1600,(15),(IF(M1&lt;=1866,(15),(IF(M1&lt;=2133,(15),(IF(M1&lt;=2400,(14.16),(IF(M1&lt;=2666,(14.25),(IF(M1&lt;=2933,(15),(IF(M1&lt;=3200,(15),("N/A")))))))))))))))</f>
        <v>14.25</v>
      </c>
      <c r="P10" s="2" t="s">
        <v>46</v>
      </c>
      <c r="Q10" s="2" t="str">
        <f>DEC2HEX(B39+B38*POWER(2,8)+B37*POWER(2,16)+B36*POWER(2,24),8)</f>
        <v>03030E06</v>
      </c>
    </row>
    <row r="11" spans="1:19">
      <c r="A11" t="s">
        <v>47</v>
      </c>
      <c r="B11">
        <f>IF(G5=0,E7,ROUNDUP(E7/2,0))</f>
        <v>20</v>
      </c>
      <c r="C11" t="str">
        <f t="shared" si="0"/>
        <v>14</v>
      </c>
      <c r="F11" t="s">
        <v>48</v>
      </c>
      <c r="G11" s="1">
        <v>0</v>
      </c>
      <c r="H11" t="s">
        <v>49</v>
      </c>
      <c r="I11">
        <f>E5+I10</f>
        <v>46.25</v>
      </c>
      <c r="P11" s="2" t="s">
        <v>50</v>
      </c>
      <c r="Q11" s="2" t="str">
        <f>DEC2HEX(B44+B43*POWER(2,8)+B42*POWER(2,16)+B41*POWER(2,30),8)</f>
        <v>00020418</v>
      </c>
    </row>
    <row r="12" spans="1:19">
      <c r="A12" t="s">
        <v>51</v>
      </c>
      <c r="B12">
        <f>IF(G5=0,(E7+E2/2+1+IF(G1=0,1,2)-E1),ROUNDUP((E7+E2/2+1+IF(G1=0,1,2)-E1)/2,0))</f>
        <v>5</v>
      </c>
      <c r="C12" t="str">
        <f t="shared" si="0"/>
        <v>5</v>
      </c>
      <c r="H12" t="s">
        <v>52</v>
      </c>
      <c r="I12">
        <f>ROUNDUP(IF(((7.5/M2)-4)&gt;0,(7.5/M2),4),0)</f>
        <v>10</v>
      </c>
      <c r="P12" s="2" t="s">
        <v>53</v>
      </c>
      <c r="Q12" s="2" t="str">
        <f>DEC2HEX(B49+B47*POWER(2,8)+B46*POWER(2,16)+B48*POWER(2,2),8)</f>
        <v>000E0C05</v>
      </c>
    </row>
    <row r="13" spans="1:19">
      <c r="A13" t="s">
        <v>54</v>
      </c>
      <c r="B13">
        <f>IF(G5=0,(I3+I2+E2/2+I12),ROUNDUP((I3+I2+E2/2+I12)/2,0))</f>
        <v>15</v>
      </c>
      <c r="C13" t="str">
        <f t="shared" si="0"/>
        <v>F</v>
      </c>
      <c r="H13" t="s">
        <v>55</v>
      </c>
      <c r="I13">
        <v>8</v>
      </c>
      <c r="P13" s="2" t="s">
        <v>56</v>
      </c>
      <c r="Q13" s="2" t="str">
        <f>DEC2HEX(B54+B53*POWER(2,8)+B52*POWER(2,16)+B51*POWER(2,24),8)</f>
        <v>13AF010E</v>
      </c>
    </row>
    <row r="14" spans="1:19">
      <c r="H14" t="s">
        <v>57</v>
      </c>
      <c r="I14">
        <f>ROUNDUP(IF(((15/M2)-24)&gt;0,(15/M2),24),0)</f>
        <v>24</v>
      </c>
      <c r="P14" s="2" t="s">
        <v>58</v>
      </c>
      <c r="Q14" s="2" t="str">
        <f>DEC2HEX(B58+B57*POWER(2,16)+B56*POWER(2,24),8)</f>
        <v>16020008</v>
      </c>
    </row>
    <row r="15" spans="1:19">
      <c r="A15" t="s">
        <v>59</v>
      </c>
      <c r="B15">
        <v>5</v>
      </c>
      <c r="C15" t="str">
        <f t="shared" si="0"/>
        <v>5</v>
      </c>
      <c r="H15" t="s">
        <v>60</v>
      </c>
      <c r="I15">
        <f>(IF(M1&lt;=1600,(15),(IF(M1&lt;=1866,(15),(IF(M1&lt;=2133,(15),(IF(M1&lt;=2400,(14.16),(IF(M1&lt;=2666,(14.25),(IF(M1&lt;=2933,(15),(IF(M1&lt;=3200,(15),("N/A")))))))))))))))</f>
        <v>14.25</v>
      </c>
      <c r="P15" s="2" t="s">
        <v>61</v>
      </c>
      <c r="Q15" s="2" t="str">
        <f>DEC2HEX(B62+B61*POWER(2,16)+B60*POWER(2,24),8)</f>
        <v>1C200004</v>
      </c>
    </row>
    <row r="16" spans="1:19">
      <c r="A16" t="s">
        <v>62</v>
      </c>
      <c r="B16">
        <f>IF(G5=0,I13,ROUNDUP(I13/2,0))</f>
        <v>4</v>
      </c>
      <c r="C16" t="str">
        <f t="shared" si="0"/>
        <v>4</v>
      </c>
      <c r="H16" t="s">
        <v>63</v>
      </c>
      <c r="I16">
        <f>ROUNDUP(IF((((IF(M1&lt;=1600,(6.25),(IF(M1&lt;=1866,(5.355),(IF(M1&lt;=2400,(5),(5)))))))/M2)-4)&gt;0,((IF(M1&lt;=1600,(6.25),(IF(M1&lt;=1866,(5.355),(IF(M1&lt;=2400,(5),(5)))))))/M2),4),0)</f>
        <v>7</v>
      </c>
      <c r="P16" s="2" t="s">
        <v>64</v>
      </c>
      <c r="Q16" s="2" t="str">
        <f>DEC2HEX(B64,8)</f>
        <v>000000A0</v>
      </c>
    </row>
    <row r="17" spans="1:17">
      <c r="A17" t="s">
        <v>65</v>
      </c>
      <c r="B17">
        <f>IF(G5=0,I14,ROUNDUP(I14/2,0))</f>
        <v>12</v>
      </c>
      <c r="C17" t="str">
        <f t="shared" si="0"/>
        <v>C</v>
      </c>
      <c r="H17" t="s">
        <v>66</v>
      </c>
      <c r="I17">
        <f>ROUNDUP(IF(G6=2,(IF(M1&lt;=1600,(7.5),(6.4))),(IF(M1&lt;=1600,(6),(IF(M1&lt;=2133,(5.3),(4.9)))))),0)</f>
        <v>7</v>
      </c>
      <c r="P17" s="2" t="s">
        <v>67</v>
      </c>
      <c r="Q17" s="2" t="str">
        <f>DEC2HEX(B68+B67*POWER(2,24)+B66*POWER(2,31),8)</f>
        <v>00000000</v>
      </c>
    </row>
    <row r="18" spans="1:17">
      <c r="H18" t="s">
        <v>68</v>
      </c>
      <c r="I18">
        <f>ROUNDUP(IF(((10/M2)-5)&gt;0,(10/M2),5),0)</f>
        <v>14</v>
      </c>
    </row>
    <row r="19" spans="1:17">
      <c r="A19" t="s">
        <v>69</v>
      </c>
      <c r="B19">
        <f>IF(G5=0,IF((ROUNDUP(I15/M2,0)-I1)&gt;0,ROUNDUP(I15/M2,0),I1),ROUNDUP(IF((ROUNDUP(I15/M2,0)-I1)&gt;0,ROUNDUP(I15/M2,0),I1)/2,0))</f>
        <v>10</v>
      </c>
      <c r="C19" t="str">
        <f t="shared" si="0"/>
        <v>A</v>
      </c>
      <c r="H19" t="s">
        <v>70</v>
      </c>
      <c r="I19">
        <f>ROUNDUP(IF(((10/M2)-5)&gt;0,(10/M2),5),0)</f>
        <v>14</v>
      </c>
    </row>
    <row r="20" spans="1:17">
      <c r="A20" t="s">
        <v>71</v>
      </c>
      <c r="B20">
        <f>IF(G5=0,I16,ROUNDUP(I16/2,0))</f>
        <v>4</v>
      </c>
      <c r="C20" t="str">
        <f t="shared" si="0"/>
        <v>4</v>
      </c>
      <c r="H20" t="s">
        <v>72</v>
      </c>
      <c r="I20">
        <f>ROUNDUP(IF(((5/M2)-3)&gt;0,(5/M2),3),0)</f>
        <v>7</v>
      </c>
    </row>
    <row r="21" spans="1:17">
      <c r="A21" t="s">
        <v>73</v>
      </c>
      <c r="B21">
        <f>IF(G5=0,I17,ROUNDUP(I17/2,0))</f>
        <v>4</v>
      </c>
      <c r="C21" t="str">
        <f t="shared" si="0"/>
        <v>4</v>
      </c>
      <c r="H21" t="s">
        <v>74</v>
      </c>
      <c r="I21">
        <f>I20+1</f>
        <v>8</v>
      </c>
    </row>
    <row r="22" spans="1:17">
      <c r="A22" t="s">
        <v>75</v>
      </c>
      <c r="B22">
        <f>IF(G5=0,ROUNDUP(I10/M2,0),ROUNDUP(ROUNDUP(I10/M2,0)/2,0))</f>
        <v>10</v>
      </c>
      <c r="C22" t="str">
        <f t="shared" si="0"/>
        <v>A</v>
      </c>
      <c r="H22" t="s">
        <v>76</v>
      </c>
      <c r="I22">
        <f>G9+10</f>
        <v>170</v>
      </c>
    </row>
    <row r="23" spans="1:17">
      <c r="H23" t="s">
        <v>77</v>
      </c>
      <c r="I23">
        <f>G9+10</f>
        <v>170</v>
      </c>
    </row>
    <row r="24" spans="1:17">
      <c r="A24" t="s">
        <v>78</v>
      </c>
      <c r="B24">
        <f>IF(G5=0,I18,ROUNDUP(I18/2,0))</f>
        <v>7</v>
      </c>
      <c r="C24" t="str">
        <f t="shared" si="0"/>
        <v>7</v>
      </c>
      <c r="H24" t="s">
        <v>79</v>
      </c>
      <c r="I24">
        <f>I26</f>
        <v>854</v>
      </c>
    </row>
    <row r="25" spans="1:17">
      <c r="A25" t="s">
        <v>80</v>
      </c>
      <c r="B25">
        <f>IF(G5=0,I19+I2,ROUNDUP((I19+I2)/2,0))</f>
        <v>7</v>
      </c>
      <c r="C25" t="str">
        <f t="shared" si="0"/>
        <v>7</v>
      </c>
      <c r="H25" t="s">
        <v>81</v>
      </c>
      <c r="I25">
        <f>G10+10</f>
        <v>360</v>
      </c>
    </row>
    <row r="26" spans="1:17">
      <c r="A26" t="s">
        <v>82</v>
      </c>
      <c r="B26">
        <f>IF(G5=0,I21+I2,ROUNDUP((I21+I2)/2,0))</f>
        <v>4</v>
      </c>
      <c r="C26" t="str">
        <f t="shared" si="0"/>
        <v>4</v>
      </c>
      <c r="H26" t="s">
        <v>83</v>
      </c>
      <c r="I26">
        <f>(IF(M1&lt;=1600,(597),(IF(M1&lt;=1866,(597),(IF(M1&lt;=2133,(768),(IF(M1&lt;=2400,(768),(IF(M1&lt;=2666,(854),(IF(M1&lt;=2933,(940),(IF(M1&lt;=3200,(1024),("N/A")))))))))))))))</f>
        <v>854</v>
      </c>
    </row>
    <row r="27" spans="1:17">
      <c r="A27" t="s">
        <v>84</v>
      </c>
      <c r="B27">
        <f>IF(G5=0,I20,ROUNDUP(I20/2,0))</f>
        <v>4</v>
      </c>
      <c r="C27" t="str">
        <f t="shared" si="0"/>
        <v>4</v>
      </c>
      <c r="H27" s="7" t="s">
        <v>85</v>
      </c>
      <c r="I27">
        <v>4</v>
      </c>
    </row>
    <row r="28" spans="1:17">
      <c r="E28" t="s">
        <v>86</v>
      </c>
      <c r="H28" t="s">
        <v>87</v>
      </c>
      <c r="I28" s="3">
        <f>IF(ROUNDUP(IF(G6=2,(IF(M1&lt;=1600,(6),(IF(M1&lt;=3200,(5.3),("N/A"))))),(IF(M1&lt;=1600,(5),(IF(M1&lt;=1866,(4.2),(IF(M1&lt;=2133,(3.7),(IF(M1&lt;=2400,(3.3),(IF(M1&lt;=2666,(3),(IF(M1&lt;=2933,(2.7),(IF(M1&lt;=3200,(2.5),("N/A"))))))))))))))))/M2,0)-4&gt;0,ROUNDUP(IF(G6=2,(IF(M1&lt;=1600,(6),(IF(M1&lt;=3200,(5.3),("N/A"))))),(IF(M1&lt;=1600,(5),(IF(M1&lt;=1866,(4.2),(IF(M1&lt;=2133,(3.7),(IF(M1&lt;=2400,(3.3),(IF(M1&lt;=2666,(3),(IF(M1&lt;=2933,(2.7),(IF(M1&lt;=3200,(2.5),("N/A"))))))))))))))))/M2,0),4)</f>
        <v>8</v>
      </c>
    </row>
    <row r="29" spans="1:17">
      <c r="A29" t="s">
        <v>88</v>
      </c>
      <c r="B29">
        <v>2</v>
      </c>
      <c r="C29" t="str">
        <f t="shared" si="0"/>
        <v>2</v>
      </c>
      <c r="H29" t="s">
        <v>89</v>
      </c>
      <c r="I29">
        <f>ROUNDUP(IF(((2.5/M2)-2)&gt;0,(2.5/M2),2),0)</f>
        <v>4</v>
      </c>
    </row>
    <row r="30" spans="1:17">
      <c r="A30" t="s">
        <v>90</v>
      </c>
      <c r="B30">
        <v>2</v>
      </c>
      <c r="C30" t="str">
        <f t="shared" si="0"/>
        <v>2</v>
      </c>
      <c r="H30" t="s">
        <v>91</v>
      </c>
      <c r="I30">
        <f>(IF(M1&lt;=2400,("N/A"),(IF(M1&lt;=3200,(2),("N/A")))))</f>
        <v>2</v>
      </c>
    </row>
    <row r="31" spans="1:17">
      <c r="A31" t="s">
        <v>92</v>
      </c>
      <c r="B31">
        <v>5</v>
      </c>
      <c r="C31" t="str">
        <f t="shared" si="0"/>
        <v>5</v>
      </c>
      <c r="H31" t="s">
        <v>93</v>
      </c>
      <c r="I31">
        <f>(IF(M1&lt;=2400,("N/A"),(IF(M1&lt;=3200,(2),("N/A")))))</f>
        <v>2</v>
      </c>
    </row>
    <row r="32" spans="1:17">
      <c r="H32" t="s">
        <v>94</v>
      </c>
      <c r="I32">
        <f>I25+I24</f>
        <v>1214</v>
      </c>
    </row>
    <row r="33" spans="1:9">
      <c r="A33" t="s">
        <v>95</v>
      </c>
      <c r="B33">
        <f>B25</f>
        <v>7</v>
      </c>
      <c r="C33" t="str">
        <f t="shared" si="0"/>
        <v>7</v>
      </c>
      <c r="H33" t="s">
        <v>96</v>
      </c>
      <c r="I33">
        <f>I25*M2-10</f>
        <v>260.06751687921985</v>
      </c>
    </row>
    <row r="34" spans="1:9">
      <c r="A34" t="s">
        <v>97</v>
      </c>
      <c r="B34">
        <f>B24</f>
        <v>7</v>
      </c>
      <c r="C34" t="str">
        <f t="shared" si="0"/>
        <v>7</v>
      </c>
      <c r="H34" t="s">
        <v>98</v>
      </c>
      <c r="I34">
        <f>(IF(M1&lt;=1600,(115),(IF(M1&lt;=1866,(100),(IF(M1&lt;=2133,(80),(IF(M1&lt;=2400,(62),(IF(M1&lt;=2666,(55),(IF(M1&lt;=2933,(48),(IF(M1&lt;=3200,(40),("N/A")))))))))))))))</f>
        <v>55</v>
      </c>
    </row>
    <row r="35" spans="1:9">
      <c r="H35" t="s">
        <v>99</v>
      </c>
      <c r="I35">
        <f>(IF(M1&lt;=1600,(140),(IF(M1&lt;=1866,(125),(IF(M1&lt;=2133,(105),(IF(M1&lt;=2400,(87),(IF(M1&lt;=2666,(80),(IF(M1&lt;=2933,(73),(IF(M1&lt;=3200,(65),("N/A")))))))))))))))</f>
        <v>80</v>
      </c>
    </row>
    <row r="36" spans="1:9">
      <c r="A36" t="s">
        <v>100</v>
      </c>
      <c r="B36">
        <f>IF(B39-IF(G5=0,I22/32,ROUNDUP(I22/32/2,0))&gt;0,IF(G5=0,I22/32,ROUNDUP(I22/32/2,0)),B39)</f>
        <v>3</v>
      </c>
      <c r="C36" t="str">
        <f t="shared" si="0"/>
        <v>3</v>
      </c>
      <c r="H36" t="s">
        <v>101</v>
      </c>
      <c r="I36">
        <f>(I34+I35)/1000</f>
        <v>0.13500000000000001</v>
      </c>
    </row>
    <row r="37" spans="1:9">
      <c r="A37" t="s">
        <v>102</v>
      </c>
      <c r="B37">
        <f>IF(G5=0,I23/32,ROUNDUP(I23/32/2,0))</f>
        <v>3</v>
      </c>
      <c r="C37" t="str">
        <f t="shared" si="0"/>
        <v>3</v>
      </c>
      <c r="H37" t="s">
        <v>103</v>
      </c>
      <c r="I37">
        <v>4</v>
      </c>
    </row>
    <row r="38" spans="1:9">
      <c r="A38" t="s">
        <v>104</v>
      </c>
      <c r="B38">
        <f>IF(G5=0,I24/32,ROUNDUP(I24/32/2,0))</f>
        <v>14</v>
      </c>
      <c r="C38" t="str">
        <f t="shared" si="0"/>
        <v>E</v>
      </c>
      <c r="H38" t="s">
        <v>105</v>
      </c>
      <c r="I38">
        <f>I14+I37</f>
        <v>28</v>
      </c>
    </row>
    <row r="39" spans="1:9">
      <c r="A39" t="s">
        <v>106</v>
      </c>
      <c r="B39">
        <f>IF(G5=0,I25/32,ROUNDUP(I25/32/2,0))</f>
        <v>6</v>
      </c>
      <c r="C39" t="str">
        <f t="shared" si="0"/>
        <v>6</v>
      </c>
      <c r="H39" t="s">
        <v>107</v>
      </c>
      <c r="I39">
        <f>I14+I1+I2</f>
        <v>44</v>
      </c>
    </row>
    <row r="40" spans="1:9">
      <c r="H40" t="s">
        <v>108</v>
      </c>
      <c r="I40">
        <f>ROUNDUP(IF(((10/M2)-16)&gt;0,(10/M2),16),0)</f>
        <v>16</v>
      </c>
    </row>
    <row r="41" spans="1:9">
      <c r="A41" t="s">
        <v>109</v>
      </c>
      <c r="B41">
        <f>G1</f>
        <v>0</v>
      </c>
      <c r="C41" t="str">
        <f t="shared" si="0"/>
        <v>0</v>
      </c>
    </row>
    <row r="42" spans="1:9">
      <c r="A42" t="s">
        <v>110</v>
      </c>
      <c r="B42">
        <f>IF(G5=0,I27,ROUNDUP(I27/2,0))</f>
        <v>2</v>
      </c>
      <c r="C42" t="str">
        <f t="shared" si="0"/>
        <v>2</v>
      </c>
    </row>
    <row r="43" spans="1:9">
      <c r="A43" t="s">
        <v>111</v>
      </c>
      <c r="B43">
        <f>IF(G5=0,I28,ROUNDUP(I28/2,0))</f>
        <v>4</v>
      </c>
      <c r="C43" t="str">
        <f t="shared" si="0"/>
        <v>4</v>
      </c>
    </row>
    <row r="44" spans="1:9">
      <c r="A44" t="s">
        <v>112</v>
      </c>
      <c r="B44">
        <f>I3+I2+E2/2+I29</f>
        <v>24</v>
      </c>
      <c r="C44" t="str">
        <f t="shared" si="0"/>
        <v>18</v>
      </c>
    </row>
    <row r="46" spans="1:9">
      <c r="A46" t="s">
        <v>113</v>
      </c>
      <c r="B46">
        <f>IF(G5=0,(I14+4),ROUNDUP((I14+4)/2,0))</f>
        <v>14</v>
      </c>
      <c r="C46" t="str">
        <f t="shared" si="0"/>
        <v>E</v>
      </c>
    </row>
    <row r="47" spans="1:9">
      <c r="A47" t="s">
        <v>114</v>
      </c>
      <c r="B47">
        <f>IF(G5=0,(I14),ROUNDUP((I14)/2,0))</f>
        <v>12</v>
      </c>
      <c r="C47" t="str">
        <f t="shared" si="0"/>
        <v>C</v>
      </c>
    </row>
    <row r="48" spans="1:9">
      <c r="A48" t="s">
        <v>115</v>
      </c>
      <c r="B48">
        <f>IF(G5=0,(I30),ROUNDUP((I30)/2,0))</f>
        <v>1</v>
      </c>
      <c r="C48" t="str">
        <f t="shared" si="0"/>
        <v>1</v>
      </c>
    </row>
    <row r="49" spans="1:3">
      <c r="A49" t="s">
        <v>116</v>
      </c>
      <c r="B49">
        <f>IF(G5=0,(I31),ROUNDUP((I31)/2,0))</f>
        <v>1</v>
      </c>
      <c r="C49" t="str">
        <f t="shared" si="0"/>
        <v>1</v>
      </c>
    </row>
    <row r="51" spans="1:3">
      <c r="A51" t="s">
        <v>117</v>
      </c>
      <c r="B51">
        <f>IF(G5=0,ROUNDUP(I32/32,0),ROUNDUP(ROUNDUP(I32/32,0)/2,0))</f>
        <v>19</v>
      </c>
      <c r="C51" t="str">
        <f t="shared" si="0"/>
        <v>13</v>
      </c>
    </row>
    <row r="52" spans="1:3">
      <c r="A52" t="s">
        <v>118</v>
      </c>
      <c r="B52">
        <f>IF(G5=0,ROUNDUP(I33/M2,0),ROUNDUP(ROUNDUP(I33/M2,0)/2,0)+1)</f>
        <v>175</v>
      </c>
      <c r="C52" t="str">
        <f t="shared" si="0"/>
        <v>AF</v>
      </c>
    </row>
    <row r="53" spans="1:3">
      <c r="A53" t="s">
        <v>119</v>
      </c>
      <c r="B53">
        <f>IF(G5=0,ROUNDUP(I36/M2,0),ROUNDUP(ROUNDUP(I36/M2,0)/2,0))</f>
        <v>1</v>
      </c>
      <c r="C53" t="str">
        <f t="shared" si="0"/>
        <v>1</v>
      </c>
    </row>
    <row r="54" spans="1:3">
      <c r="A54" t="s">
        <v>120</v>
      </c>
      <c r="B54">
        <f>IF(G5=0,I38,ROUNDUP(I38/2,0))</f>
        <v>14</v>
      </c>
      <c r="C54" t="str">
        <f t="shared" si="0"/>
        <v>E</v>
      </c>
    </row>
    <row r="56" spans="1:3">
      <c r="A56" t="s">
        <v>121</v>
      </c>
      <c r="B56">
        <f>IF(G5=0,(I14+I1+I2),ROUNDUP((I14+I1+I2)/2,0))</f>
        <v>22</v>
      </c>
      <c r="C56" t="str">
        <f t="shared" si="0"/>
        <v>16</v>
      </c>
    </row>
    <row r="57" spans="1:3">
      <c r="A57" t="s">
        <v>122</v>
      </c>
      <c r="B57">
        <v>2</v>
      </c>
      <c r="C57" t="str">
        <f t="shared" si="0"/>
        <v>2</v>
      </c>
    </row>
    <row r="58" spans="1:3">
      <c r="A58" t="s">
        <v>123</v>
      </c>
      <c r="B58">
        <f>IF(G5=0,I40,ROUNDUP(I40/2,0))</f>
        <v>8</v>
      </c>
      <c r="C58" t="str">
        <f t="shared" si="0"/>
        <v>8</v>
      </c>
    </row>
    <row r="60" spans="1:3">
      <c r="A60" s="8" t="s">
        <v>124</v>
      </c>
      <c r="B60" s="8">
        <v>28</v>
      </c>
      <c r="C60" s="8" t="str">
        <f t="shared" si="0"/>
        <v>1C</v>
      </c>
    </row>
    <row r="61" spans="1:3">
      <c r="A61" s="8" t="s">
        <v>125</v>
      </c>
      <c r="B61" s="8">
        <v>32</v>
      </c>
      <c r="C61" s="8" t="str">
        <f t="shared" si="0"/>
        <v>20</v>
      </c>
    </row>
    <row r="62" spans="1:3">
      <c r="A62" s="8" t="s">
        <v>126</v>
      </c>
      <c r="B62" s="8">
        <v>4</v>
      </c>
      <c r="C62" s="8" t="str">
        <f t="shared" si="0"/>
        <v>4</v>
      </c>
    </row>
    <row r="63" spans="1:3">
      <c r="A63" s="8"/>
      <c r="B63" s="8"/>
      <c r="C63" s="8"/>
    </row>
    <row r="64" spans="1:3">
      <c r="A64" s="8" t="s">
        <v>127</v>
      </c>
      <c r="B64" s="8">
        <v>160</v>
      </c>
      <c r="C64" s="8" t="str">
        <f t="shared" si="0"/>
        <v>A0</v>
      </c>
    </row>
    <row r="66" spans="1:3">
      <c r="A66" t="s">
        <v>128</v>
      </c>
      <c r="C66" t="str">
        <f t="shared" ref="C66:C76" si="1">DEC2HEX(B66)</f>
        <v>0</v>
      </c>
    </row>
    <row r="67" spans="1:3">
      <c r="A67" t="s">
        <v>129</v>
      </c>
      <c r="C67" t="str">
        <f t="shared" si="1"/>
        <v>0</v>
      </c>
    </row>
    <row r="68" spans="1:3">
      <c r="A68" t="s">
        <v>130</v>
      </c>
      <c r="C68" t="str">
        <f t="shared" si="1"/>
        <v>0</v>
      </c>
    </row>
    <row r="70" spans="1:3">
      <c r="A70" t="s">
        <v>131</v>
      </c>
      <c r="C70" t="str">
        <f t="shared" si="1"/>
        <v>0</v>
      </c>
    </row>
    <row r="71" spans="1:3">
      <c r="A71" t="s">
        <v>132</v>
      </c>
      <c r="C71" t="str">
        <f t="shared" si="1"/>
        <v>0</v>
      </c>
    </row>
    <row r="72" spans="1:3">
      <c r="A72" t="s">
        <v>133</v>
      </c>
      <c r="C72" t="str">
        <f t="shared" si="1"/>
        <v>0</v>
      </c>
    </row>
    <row r="73" spans="1:3">
      <c r="A73" t="s">
        <v>134</v>
      </c>
      <c r="C73" t="str">
        <f t="shared" si="1"/>
        <v>0</v>
      </c>
    </row>
    <row r="75" spans="1:3">
      <c r="A75" s="8" t="s">
        <v>135</v>
      </c>
      <c r="B75" s="8">
        <v>0</v>
      </c>
      <c r="C75" s="8" t="str">
        <f t="shared" si="1"/>
        <v>0</v>
      </c>
    </row>
    <row r="76" spans="1:3">
      <c r="A76" s="8" t="s">
        <v>136</v>
      </c>
      <c r="B76" s="8">
        <v>0</v>
      </c>
      <c r="C76" s="8" t="str">
        <f t="shared" si="1"/>
        <v>0</v>
      </c>
    </row>
  </sheetData>
  <sheetProtection algorithmName="SHA-512" hashValue="SCvliNPlMpbZxKj7DXU0Itlk4zYoU7k4fGKaBtb+WjmwnnBoVnKL5888xYeBx/zs1iScSCIVfQGNMIvcJCkWgg==" saltValue="VqN9+QWF8ZuRx3Q6XDB2XA==" spinCount="100000" sheet="1" objects="1" scenarios="1"/>
  <protectedRanges>
    <protectedRange sqref="E2" name="区域3"/>
    <protectedRange sqref="M1" name="区域2"/>
    <protectedRange sqref="G1:G11" name="区域1"/>
  </protectedRange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6"/>
  <sheetViews>
    <sheetView workbookViewId="0">
      <selection activeCell="D12" sqref="D12"/>
    </sheetView>
  </sheetViews>
  <sheetFormatPr defaultRowHeight="15"/>
  <cols>
    <col min="1" max="1" width="19.7109375" bestFit="1" customWidth="1"/>
    <col min="6" max="6" width="15.7109375" bestFit="1" customWidth="1"/>
    <col min="8" max="8" width="10.5703125" bestFit="1" customWidth="1"/>
    <col min="10" max="10" width="10.42578125" bestFit="1" customWidth="1"/>
    <col min="16" max="16" width="12.42578125" bestFit="1" customWidth="1"/>
    <col min="17" max="17" width="10" bestFit="1" customWidth="1"/>
  </cols>
  <sheetData>
    <row r="1" spans="1:19">
      <c r="A1" t="s">
        <v>0</v>
      </c>
      <c r="B1">
        <f>IF((G1=1),ROUNDDOWN(((((E1+(E2/2))*M2)+(E3))/M2/2),0),(ROUNDUP(((((E1+(E2/2))*M2)+(E3))/M2/2),0)))</f>
        <v>21</v>
      </c>
      <c r="C1" t="str">
        <f>DEC2HEX(B1)</f>
        <v>15</v>
      </c>
      <c r="D1" t="s">
        <v>1</v>
      </c>
      <c r="E1">
        <f>(I1+I2+I3)</f>
        <v>18</v>
      </c>
      <c r="F1" t="s">
        <v>2</v>
      </c>
      <c r="G1" s="1">
        <v>0</v>
      </c>
      <c r="H1" t="s">
        <v>3</v>
      </c>
      <c r="I1">
        <f>IF(G4=0,0,I4-G4)</f>
        <v>0</v>
      </c>
      <c r="J1" t="s">
        <v>4</v>
      </c>
      <c r="K1">
        <f>IF((G2),(IF(M1&lt;=2133,(1),(IF(M1&lt;=2666,(2),(IF(M1&lt;=3200,(3),("RFU"))))))),0)</f>
        <v>0</v>
      </c>
      <c r="L1" t="s">
        <v>5</v>
      </c>
      <c r="M1" s="1">
        <v>2666</v>
      </c>
      <c r="N1" s="1"/>
      <c r="O1" s="1"/>
      <c r="P1" s="1"/>
      <c r="Q1" s="1"/>
      <c r="R1" s="1"/>
      <c r="S1" s="1"/>
    </row>
    <row r="2" spans="1:19">
      <c r="A2" t="s">
        <v>6</v>
      </c>
      <c r="B2">
        <f>IF(G5=1,ROUNDDOWN(E4/M2/2,0),ROUNDUP(E4/M2,0))</f>
        <v>19</v>
      </c>
      <c r="C2" t="str">
        <f t="shared" ref="C2:C64" si="0">DEC2HEX(B2)</f>
        <v>13</v>
      </c>
      <c r="D2" t="s">
        <v>7</v>
      </c>
      <c r="E2" s="1">
        <v>8</v>
      </c>
      <c r="F2" t="s">
        <v>8</v>
      </c>
      <c r="G2" s="1">
        <v>0</v>
      </c>
      <c r="H2" t="s">
        <v>9</v>
      </c>
      <c r="I2">
        <f>IF(K1=0,0,(IF(K1=1,(4),(IF(K1=2,(5),(IF(K1=3,(6),("FRU"))))))))</f>
        <v>0</v>
      </c>
      <c r="J2" t="s">
        <v>10</v>
      </c>
      <c r="K2">
        <f>G4</f>
        <v>0</v>
      </c>
      <c r="L2" t="s">
        <v>11</v>
      </c>
      <c r="M2">
        <f>2000/M1</f>
        <v>0.75018754688672173</v>
      </c>
      <c r="P2" s="2" t="s">
        <v>12</v>
      </c>
      <c r="Q2" s="2" t="str">
        <f>DEC2HEX(B4+B3*POWER(2,8)+B2*POWER(2,16)+B1*POWER(2,24),8)</f>
        <v>15132D16</v>
      </c>
    </row>
    <row r="3" spans="1:19">
      <c r="A3" t="s">
        <v>13</v>
      </c>
      <c r="B3">
        <f>IF(G5,(ROUNDDOWN(ROUNDDOWN((((E6/M2/1024)-1)/2),0),0)),(ROUNDDOWN((E6/M2/1024),0)))</f>
        <v>45</v>
      </c>
      <c r="C3" t="str">
        <f t="shared" si="0"/>
        <v>2D</v>
      </c>
      <c r="D3" t="s">
        <v>14</v>
      </c>
      <c r="E3">
        <v>15</v>
      </c>
      <c r="F3" t="s">
        <v>15</v>
      </c>
      <c r="G3" s="1">
        <v>0</v>
      </c>
      <c r="H3" t="s">
        <v>16</v>
      </c>
      <c r="I3">
        <f>IF(G8,(IF(G1,(IF(M1&lt;=1600,(11),(IF(M1&lt;=1866,(12),(IF(M1&lt;=2133,(14),(IF(M1&lt;=2400,(16),(IF(M1&lt;=2666,(18),(IF(M1&lt;=2933,(20),(IF(M1&lt;=3200,(20),(12))))))))))))))),(IF(M1&lt;=1600,("N/A"),(IF(M1&lt;=1866,("N/A"),(IF(M1&lt;=2133,("N/A"),(IF(M1&lt;=2400,(16),(IF(M1&lt;=2666,(18),(IF(M1&lt;=2933,(20),(IF(M1&lt;=3200,(20),(12))))))))))))))))),(IF(G1,(IF(M1&lt;=1600,(9),(IF(M1&lt;=1866,(10),(IF(M1&lt;=2133,(11),(IF(M1&lt;=2400,(12),(IF(M1&lt;=2666,(14),(IF(M1&lt;=2933,(16),(IF(M1&lt;=3200,(16),("N/A"))))))))))))))),(IF(M1&lt;=1600,("N/A"),(IF(M1&lt;=1866,("N/A"),(IF(M1&lt;=2133,("N/A"),(IF(M1&lt;=2400,(14),(IF(M1&lt;=2666,(16),(IF(M1&lt;=2933,(18),(IF(M1&lt;=3200,(18),("N/A"))))))))))))))))))</f>
        <v>18</v>
      </c>
      <c r="P3" s="2" t="s">
        <v>17</v>
      </c>
      <c r="Q3" s="2" t="str">
        <f>DEC2HEX(B8+B7*POWER(2,8)+B6*POWER(2,16),8)</f>
        <v>0004051F</v>
      </c>
    </row>
    <row r="4" spans="1:19">
      <c r="A4" t="s">
        <v>18</v>
      </c>
      <c r="B4">
        <f>IF(G5,IF(G1,ROUNDDOWN((E5/M2/2),0),ROUNDUP(E5/M2/2,0)),ROUNDUP(E5/M2,0))</f>
        <v>22</v>
      </c>
      <c r="C4" t="str">
        <f t="shared" si="0"/>
        <v>16</v>
      </c>
      <c r="D4" t="s">
        <v>19</v>
      </c>
      <c r="E4" s="3">
        <f>IF((G6=2),(IF((M1&lt;=2400),(IF(((28*M2)-35&gt;0),(ROUNDUP((28*M2),0)),(35))),(IF(((28*M2)-30&gt;0),(ROUNDUP((28*M2),0)),(30))))),IF((G6=1),(IF((M1&lt;=2400),(IF(((20*M2)-25&gt;0),(ROUNDUP((20*M2),0)),(25))),(IF(((20*M2)-21&gt;0),(ROUNDUP((20*M2),0)),(21))))),IF((G6=0),(IF((M1&lt;=2400),(IF(((16*M2)-20&gt;0),(ROUNDUP((16*M2),0)),(20))),(IF(((16*M2)-12&gt;0),(ROUNDUP((16*M2),0)),(12))))),"N/A")))</f>
        <v>30</v>
      </c>
      <c r="F4" t="s">
        <v>20</v>
      </c>
      <c r="G4" s="1">
        <v>0</v>
      </c>
      <c r="H4" t="s">
        <v>21</v>
      </c>
      <c r="I4">
        <f>IF(G3,(IF(M1&lt;=1600,(14),(IF(M1&lt;=1866,(16),(IF(M1&lt;=2133,(19),(IF(M1&lt;=2400,(21),(IF(M1&lt;=2666,(23),(IF(M1&lt;=2933,(26),(IF(M1&lt;=3200,(28),("N/A"))))))))))))))),(IF(M1&lt;=1600,(12),(IF(M1&lt;=1866,(14),(IF(M1&lt;=2133,(16),(IF(M1&lt;=2400,(18),(IF(M1&lt;=2666,(20),(IF(M1&lt;=2933,(22),(IF(M1&lt;=3200,(24),("N/A"))))))))))))))))</f>
        <v>20</v>
      </c>
      <c r="P4" s="2" t="s">
        <v>22</v>
      </c>
      <c r="Q4" s="2" t="str">
        <f>DEC2HEX(B13+B12*POWER(2,8)+B11*POWER(2,16)+B10*POWER(2,24),8)</f>
        <v>090A0410</v>
      </c>
    </row>
    <row r="5" spans="1:19" ht="13.5" customHeight="1">
      <c r="D5" s="4" t="s">
        <v>23</v>
      </c>
      <c r="E5">
        <f>(IF(M1&lt;=1600,(35),(IF(M1&lt;=1866,(34),(IF(M1&lt;=2133,(33),(IF(M1&lt;=2400,(32),(IF(M1&lt;=2666,(32),(IF(M1&lt;=2933,(32),(IF(M1&lt;=3200,(32),("N/A")))))))))))))))</f>
        <v>32</v>
      </c>
      <c r="F5" s="3" t="s">
        <v>24</v>
      </c>
      <c r="G5" s="1">
        <v>1</v>
      </c>
      <c r="H5" t="s">
        <v>25</v>
      </c>
      <c r="I5">
        <v>7.8</v>
      </c>
      <c r="P5" s="2" t="s">
        <v>26</v>
      </c>
      <c r="Q5" s="2" t="str">
        <f>DEC2HEX(B17+B16*POWER(2,12)+B15*POWER(2,20),8)</f>
        <v>0050400C</v>
      </c>
    </row>
    <row r="6" spans="1:19" ht="17.25" customHeight="1">
      <c r="A6" t="s">
        <v>27</v>
      </c>
      <c r="B6">
        <f>ROUNDUP(IF(G2,(IF(G5,(I8/2),ROUNDUP(I8/2,0)))+I2,(IF(G5,(I8/2),ROUNDUP(I8/2,0)))),0)</f>
        <v>4</v>
      </c>
      <c r="C6" t="str">
        <f t="shared" si="0"/>
        <v>4</v>
      </c>
      <c r="D6" s="4" t="s">
        <v>28</v>
      </c>
      <c r="E6">
        <f>9*I6*1000</f>
        <v>70200</v>
      </c>
      <c r="F6" s="5" t="s">
        <v>29</v>
      </c>
      <c r="G6" s="1">
        <v>2</v>
      </c>
      <c r="H6" t="s">
        <v>30</v>
      </c>
      <c r="I6">
        <f>(I5/(POWER(2,G7)))</f>
        <v>7.8</v>
      </c>
      <c r="P6" s="2" t="s">
        <v>31</v>
      </c>
      <c r="Q6" s="2" t="str">
        <f>DEC2HEX(B22+B21*POWER(2,8)+B20*POWER(2,16)+B19*POWER(2,24),8)</f>
        <v>0A04050B</v>
      </c>
    </row>
    <row r="7" spans="1:19">
      <c r="A7" t="s">
        <v>32</v>
      </c>
      <c r="B7">
        <f>IF(G5=0,(IF((I9+I1)-(E7+E2/2-(ROUNDUP(I10/M2,0)))&gt;0,(I9+I1),(E7+E2/2-(ROUNDUP(I10/M2,0))))),(IF(G1=1,ROUNDDOWN(IF((I9+I1)-(E7+E2/2-(ROUNDUP(I10/M2,0)))&gt;0,(I9+I1),(E7+E2/2-(ROUNDUP(I10/M2,0))))/2,0),ROUNDUP((IF((I9+I1)-(E7+E2/2-(ROUNDUP(I10/M2,0)))&gt;0,(I9+I1),(E7+E2/2-(ROUNDUP(I10/M2,0)))))/2,0))))</f>
        <v>5</v>
      </c>
      <c r="C7" t="str">
        <f t="shared" si="0"/>
        <v>5</v>
      </c>
      <c r="D7" t="s">
        <v>33</v>
      </c>
      <c r="E7">
        <f>I1+I4</f>
        <v>20</v>
      </c>
      <c r="F7" t="s">
        <v>34</v>
      </c>
      <c r="G7" s="1">
        <v>0</v>
      </c>
      <c r="H7" t="s">
        <v>30</v>
      </c>
      <c r="I7">
        <f>(I5/(POWER(2,G7+1)))</f>
        <v>3.9</v>
      </c>
      <c r="P7" s="2" t="s">
        <v>35</v>
      </c>
      <c r="Q7" s="2" t="str">
        <f>DEC2HEX(B27+B26*POWER(2,8)+B25*POWER(2,16)+B24*POWER(2,24),8)</f>
        <v>07070404</v>
      </c>
    </row>
    <row r="8" spans="1:19">
      <c r="A8" t="s">
        <v>36</v>
      </c>
      <c r="B8">
        <f>IF(G5=0,ROUNDUP(I11/M2,0),IF(G1=1,ROUNDDOWN(ROUNDUP(I11/M2,0)/2,0),ROUNDUP(ROUNDUP(I11/M2,0)/2,0)))</f>
        <v>31</v>
      </c>
      <c r="C8" t="str">
        <f t="shared" si="0"/>
        <v>1F</v>
      </c>
      <c r="F8" t="s">
        <v>37</v>
      </c>
      <c r="G8" s="1">
        <v>1</v>
      </c>
      <c r="H8" s="6" t="s">
        <v>38</v>
      </c>
      <c r="I8">
        <f>ROUNDUP(IF(((6/M2)-4)&gt;0,(6/M2),4),0)</f>
        <v>8</v>
      </c>
      <c r="P8" s="9" t="s">
        <v>39</v>
      </c>
      <c r="Q8" s="9" t="str">
        <f>DEC2HEX(B31+B30*POWER(2,16)+B29*POWER(2,24),8)</f>
        <v>02020005</v>
      </c>
    </row>
    <row r="9" spans="1:19">
      <c r="F9" t="s">
        <v>40</v>
      </c>
      <c r="G9" s="1">
        <v>160</v>
      </c>
      <c r="H9" s="4" t="s">
        <v>41</v>
      </c>
      <c r="I9">
        <f>ROUNDUP(IF(((7.5/M2)-4)&gt;0,(7.5/M2),4),0)</f>
        <v>10</v>
      </c>
      <c r="P9" s="2" t="s">
        <v>42</v>
      </c>
      <c r="Q9" s="2" t="str">
        <f>DEC2HEX(B34+B33*POWER(2,8),8)</f>
        <v>00000707</v>
      </c>
    </row>
    <row r="10" spans="1:19">
      <c r="A10" t="s">
        <v>43</v>
      </c>
      <c r="B10">
        <f>IF(G5=0,E1,ROUNDUP(E1/2,0))</f>
        <v>9</v>
      </c>
      <c r="C10" t="str">
        <f t="shared" si="0"/>
        <v>9</v>
      </c>
      <c r="F10" t="s">
        <v>44</v>
      </c>
      <c r="G10" s="1">
        <v>350</v>
      </c>
      <c r="H10" s="4" t="s">
        <v>45</v>
      </c>
      <c r="I10">
        <f>(IF(M1&lt;=1600,(15),(IF(M1&lt;=1866,(15),(IF(M1&lt;=2133,(15),(IF(M1&lt;=2400,(14.16),(IF(M1&lt;=2666,(14.25),(IF(M1&lt;=2933,(15),(IF(M1&lt;=3200,(15),("N/A")))))))))))))))</f>
        <v>14.25</v>
      </c>
      <c r="P10" s="2" t="s">
        <v>46</v>
      </c>
      <c r="Q10" s="2" t="str">
        <f>DEC2HEX(B39+B38*POWER(2,8)+B37*POWER(2,16)+B36*POWER(2,24),8)</f>
        <v>03030E06</v>
      </c>
    </row>
    <row r="11" spans="1:19">
      <c r="A11" t="s">
        <v>47</v>
      </c>
      <c r="B11">
        <f>IF(G5=0,E7,ROUNDUP(E7/2,0))</f>
        <v>10</v>
      </c>
      <c r="C11" t="str">
        <f t="shared" si="0"/>
        <v>A</v>
      </c>
      <c r="F11" t="s">
        <v>48</v>
      </c>
      <c r="G11" s="1">
        <v>0</v>
      </c>
      <c r="H11" t="s">
        <v>49</v>
      </c>
      <c r="I11">
        <f>E5+I10</f>
        <v>46.25</v>
      </c>
      <c r="P11" s="2" t="s">
        <v>50</v>
      </c>
      <c r="Q11" s="2" t="str">
        <f>DEC2HEX(B44+B43*POWER(2,8)+B42*POWER(2,16)+B41*POWER(2,30),8)</f>
        <v>4002041A</v>
      </c>
    </row>
    <row r="12" spans="1:19">
      <c r="A12" t="s">
        <v>51</v>
      </c>
      <c r="B12">
        <f>IF(G5=0,(E7+E2/2+1+IF(G1=0,1,2)-E1),ROUNDUP((E7+E2/2+1+IF(G1=0,1,2)-E1)/2,0))</f>
        <v>4</v>
      </c>
      <c r="C12" t="str">
        <f t="shared" si="0"/>
        <v>4</v>
      </c>
      <c r="H12" t="s">
        <v>52</v>
      </c>
      <c r="I12">
        <f>ROUNDUP(IF(((7.5/M2)-4)&gt;0,(7.5/M2),4),0)</f>
        <v>10</v>
      </c>
      <c r="P12" s="2" t="s">
        <v>53</v>
      </c>
      <c r="Q12" s="2" t="str">
        <f>DEC2HEX(B49+B47*POWER(2,8)+B46*POWER(2,16)+B48*POWER(2,2),8)</f>
        <v>000E0C05</v>
      </c>
    </row>
    <row r="13" spans="1:19">
      <c r="A13" t="s">
        <v>54</v>
      </c>
      <c r="B13">
        <f>IF(G5=0,(I3+I2+E2/2+I12),ROUNDUP((I3+I2+E2/2+I12)/2,0))</f>
        <v>16</v>
      </c>
      <c r="C13" t="str">
        <f t="shared" si="0"/>
        <v>10</v>
      </c>
      <c r="H13" t="s">
        <v>55</v>
      </c>
      <c r="I13">
        <v>8</v>
      </c>
      <c r="P13" s="2" t="s">
        <v>56</v>
      </c>
      <c r="Q13" s="2" t="str">
        <f>DEC2HEX(B54+B53*POWER(2,8)+B52*POWER(2,16)+B51*POWER(2,24),8)</f>
        <v>13AF010E</v>
      </c>
    </row>
    <row r="14" spans="1:19">
      <c r="H14" t="s">
        <v>57</v>
      </c>
      <c r="I14">
        <f>ROUNDUP(IF(((15/M2)-24)&gt;0,(15/M2),24),0)</f>
        <v>24</v>
      </c>
      <c r="P14" s="2" t="s">
        <v>58</v>
      </c>
      <c r="Q14" s="2" t="str">
        <f>DEC2HEX(B58+B57*POWER(2,16)+B56*POWER(2,24),8)</f>
        <v>0C020008</v>
      </c>
    </row>
    <row r="15" spans="1:19">
      <c r="A15" s="8" t="s">
        <v>59</v>
      </c>
      <c r="B15" s="8">
        <v>5</v>
      </c>
      <c r="C15" s="8" t="str">
        <f t="shared" si="0"/>
        <v>5</v>
      </c>
      <c r="H15" t="s">
        <v>60</v>
      </c>
      <c r="I15">
        <f>(IF(M1&lt;=1600,(15),(IF(M1&lt;=1866,(15),(IF(M1&lt;=2133,(15),(IF(M1&lt;=2400,(14.16),(IF(M1&lt;=2666,(14.25),(IF(M1&lt;=2933,(15),(IF(M1&lt;=3200,(15),("N/A")))))))))))))))</f>
        <v>14.25</v>
      </c>
      <c r="P15" s="9" t="s">
        <v>61</v>
      </c>
      <c r="Q15" s="9" t="str">
        <f>DEC2HEX(B62+B61*POWER(2,16)+B60*POWER(2,24),8)</f>
        <v>1C200004</v>
      </c>
    </row>
    <row r="16" spans="1:19">
      <c r="A16" t="s">
        <v>62</v>
      </c>
      <c r="B16">
        <f>IF(G5=0,I13,ROUNDUP(I13/2,0))</f>
        <v>4</v>
      </c>
      <c r="C16" t="str">
        <f t="shared" si="0"/>
        <v>4</v>
      </c>
      <c r="H16" t="s">
        <v>63</v>
      </c>
      <c r="I16">
        <f>ROUNDUP(IF((((IF(M1&lt;=1600,(6.25),(IF(M1&lt;=1866,(5.355),(IF(M1&lt;=2400,(5),(5)))))))/M2)-4)&gt;0,((IF(M1&lt;=1600,(6.25),(IF(M1&lt;=1866,(5.355),(IF(M1&lt;=2400,(5),(5)))))))/M2),4),0)</f>
        <v>7</v>
      </c>
      <c r="P16" s="9" t="s">
        <v>64</v>
      </c>
      <c r="Q16" s="9" t="str">
        <f>DEC2HEX(B64,8)</f>
        <v>000000A0</v>
      </c>
    </row>
    <row r="17" spans="1:17">
      <c r="A17" t="s">
        <v>65</v>
      </c>
      <c r="B17">
        <f>IF(G5=0,I14,ROUNDUP(I14/2,0))</f>
        <v>12</v>
      </c>
      <c r="C17" t="str">
        <f t="shared" si="0"/>
        <v>C</v>
      </c>
      <c r="H17" t="s">
        <v>66</v>
      </c>
      <c r="I17">
        <f>ROUNDUP(IF(((IF(G6=2,(IF(M1&lt;=1600,(7.5),(6.4))),(IF(M1&lt;=1600,(6),(IF(M1&lt;=2133,(5.3),(4.9))))))/M2)&gt;4),(IF(G6=2,(IF(M1&lt;=1600,(7.5),(6.4))),(IF(M1&lt;=1600,(6),(IF(M1&lt;=2133,(5.3),(4.9))))))/M2),4),0)</f>
        <v>9</v>
      </c>
      <c r="P17" s="2" t="s">
        <v>67</v>
      </c>
      <c r="Q17" s="2" t="str">
        <f>DEC2HEX(B68+B67*POWER(2,24)+B66*POWER(2,31),8)</f>
        <v>00000000</v>
      </c>
    </row>
    <row r="18" spans="1:17">
      <c r="H18" t="s">
        <v>68</v>
      </c>
      <c r="I18">
        <f>ROUNDUP(IF(((10/M2)-5)&gt;0,(10/M2),5),0)</f>
        <v>14</v>
      </c>
      <c r="P18" s="2" t="s">
        <v>137</v>
      </c>
      <c r="Q18" s="2" t="str">
        <f t="shared" ref="Q18:Q20" si="1">DEC2HEX(B69+B68*POWER(2,24)+B67*POWER(2,31),8)</f>
        <v>00000000</v>
      </c>
    </row>
    <row r="19" spans="1:17">
      <c r="A19" t="s">
        <v>69</v>
      </c>
      <c r="B19">
        <f>IF(G5=0,IF((ROUNDUP(I15/M2,0)-I1)&gt;0,ROUNDUP(I15/M2,0),I1),ROUNDUP(IF((ROUNDUP(I15/M2,0)-I1)&gt;0,ROUNDUP(I15/M2,0),I1)/2,0))</f>
        <v>10</v>
      </c>
      <c r="C19" t="str">
        <f t="shared" si="0"/>
        <v>A</v>
      </c>
      <c r="H19" t="s">
        <v>70</v>
      </c>
      <c r="I19">
        <f>ROUNDUP(IF(((10/M2)-5)&gt;0,(10/M2),5),0)</f>
        <v>14</v>
      </c>
      <c r="P19" s="2" t="s">
        <v>138</v>
      </c>
      <c r="Q19" s="2" t="str">
        <f t="shared" si="1"/>
        <v>00000000</v>
      </c>
    </row>
    <row r="20" spans="1:17">
      <c r="A20" t="s">
        <v>71</v>
      </c>
      <c r="B20">
        <f>IF(G5=0,I16,ROUNDUP(I16/2,0))</f>
        <v>4</v>
      </c>
      <c r="C20" t="str">
        <f t="shared" si="0"/>
        <v>4</v>
      </c>
      <c r="H20" t="s">
        <v>72</v>
      </c>
      <c r="I20">
        <f>ROUNDUP(IF(((5/M2)-3)&gt;0,(5/M2),3),0)</f>
        <v>7</v>
      </c>
      <c r="P20" s="9" t="s">
        <v>139</v>
      </c>
      <c r="Q20" s="9" t="str">
        <f t="shared" si="1"/>
        <v>00000000</v>
      </c>
    </row>
    <row r="21" spans="1:17">
      <c r="A21" t="s">
        <v>73</v>
      </c>
      <c r="B21">
        <f>IF(G5=0,I17,ROUNDUP(I17/2,0))</f>
        <v>5</v>
      </c>
      <c r="C21" t="str">
        <f t="shared" si="0"/>
        <v>5</v>
      </c>
      <c r="H21" t="s">
        <v>74</v>
      </c>
      <c r="I21">
        <f>I20+1</f>
        <v>8</v>
      </c>
    </row>
    <row r="22" spans="1:17">
      <c r="A22" t="s">
        <v>75</v>
      </c>
      <c r="B22">
        <f>IF(G5=0,ROUNDUP(I10/M2,0),ROUNDUP(ROUNDUP(I10/M2,0)/2,0)+1)</f>
        <v>11</v>
      </c>
      <c r="C22" t="str">
        <f t="shared" si="0"/>
        <v>B</v>
      </c>
      <c r="H22" t="s">
        <v>76</v>
      </c>
      <c r="I22">
        <f>G9+10</f>
        <v>170</v>
      </c>
    </row>
    <row r="23" spans="1:17">
      <c r="H23" t="s">
        <v>77</v>
      </c>
      <c r="I23">
        <f>G9+10</f>
        <v>170</v>
      </c>
    </row>
    <row r="24" spans="1:17">
      <c r="A24" t="s">
        <v>78</v>
      </c>
      <c r="B24">
        <f>IF(G5=0,I18,ROUNDUP(I18/2,0))</f>
        <v>7</v>
      </c>
      <c r="C24" t="str">
        <f t="shared" si="0"/>
        <v>7</v>
      </c>
      <c r="H24" t="s">
        <v>79</v>
      </c>
      <c r="I24">
        <f>I26</f>
        <v>854</v>
      </c>
    </row>
    <row r="25" spans="1:17">
      <c r="A25" t="s">
        <v>80</v>
      </c>
      <c r="B25">
        <f>IF(G5=0,I19+I2,ROUNDUP((I19+I2)/2,0))</f>
        <v>7</v>
      </c>
      <c r="C25" t="str">
        <f t="shared" si="0"/>
        <v>7</v>
      </c>
      <c r="H25" t="s">
        <v>81</v>
      </c>
      <c r="I25">
        <f>G10+10</f>
        <v>360</v>
      </c>
    </row>
    <row r="26" spans="1:17">
      <c r="A26" t="s">
        <v>82</v>
      </c>
      <c r="B26">
        <f>IF(G5=0,I21+I2,ROUNDUP((I21+I2)/2,0))</f>
        <v>4</v>
      </c>
      <c r="C26" t="str">
        <f t="shared" si="0"/>
        <v>4</v>
      </c>
      <c r="H26" t="s">
        <v>83</v>
      </c>
      <c r="I26">
        <f>(IF(M1&lt;=1600,(597),(IF(M1&lt;=1866,(597),(IF(M1&lt;=2133,(768),(IF(M1&lt;=2400,(768),(IF(M1&lt;=2666,(854),(IF(M1&lt;=2933,(940),(IF(M1&lt;=3200,(1024),("N/A")))))))))))))))</f>
        <v>854</v>
      </c>
    </row>
    <row r="27" spans="1:17">
      <c r="A27" t="s">
        <v>84</v>
      </c>
      <c r="B27">
        <f>IF(G5=0,I20,ROUNDUP(I20/2,0))</f>
        <v>4</v>
      </c>
      <c r="C27" t="str">
        <f t="shared" si="0"/>
        <v>4</v>
      </c>
      <c r="H27" s="10" t="s">
        <v>85</v>
      </c>
      <c r="I27">
        <v>4</v>
      </c>
    </row>
    <row r="28" spans="1:17">
      <c r="E28" t="s">
        <v>86</v>
      </c>
      <c r="H28" t="s">
        <v>87</v>
      </c>
      <c r="I28" s="3">
        <f>IF(ROUNDUP(IF(G6=2,(IF(M1&lt;=1600,(6),(IF(M1&lt;=3200,(5.3),("N/A"))))),(IF(M1&lt;=1600,(5),(IF(M1&lt;=1866,(4.2),(IF(M1&lt;=2133,(3.7),(IF(M1&lt;=2400,(3.3),(IF(M1&lt;=2666,(3),(IF(M1&lt;=2933,(2.7),(IF(M1&lt;=3200,(2.5),("N/A"))))))))))))))))/M2,0)-4&gt;0,ROUNDUP(IF(G6=2,(IF(M1&lt;=1600,(6),(IF(M1&lt;=3200,(5.3),("N/A"))))),(IF(M1&lt;=1600,(5),(IF(M1&lt;=1866,(4.2),(IF(M1&lt;=2133,(3.7),(IF(M1&lt;=2400,(3.3),(IF(M1&lt;=2666,(3),(IF(M1&lt;=2933,(2.7),(IF(M1&lt;=3200,(2.5),("N/A"))))))))))))))))/M2,0),4)</f>
        <v>8</v>
      </c>
    </row>
    <row r="29" spans="1:17">
      <c r="A29" s="8" t="s">
        <v>88</v>
      </c>
      <c r="B29" s="8">
        <v>2</v>
      </c>
      <c r="C29" s="8" t="str">
        <f t="shared" si="0"/>
        <v>2</v>
      </c>
      <c r="H29" t="s">
        <v>89</v>
      </c>
      <c r="I29">
        <f>ROUNDUP(IF(((2.5/M2)-2)&gt;0,(2.5/M2),2),0)</f>
        <v>4</v>
      </c>
    </row>
    <row r="30" spans="1:17">
      <c r="A30" s="8" t="s">
        <v>90</v>
      </c>
      <c r="B30" s="8">
        <v>2</v>
      </c>
      <c r="C30" s="8" t="str">
        <f t="shared" si="0"/>
        <v>2</v>
      </c>
      <c r="H30" t="s">
        <v>91</v>
      </c>
      <c r="I30">
        <f>(IF(M1&lt;=2400,("N/A"),(IF(M1&lt;=3200,(2),("N/A")))))</f>
        <v>2</v>
      </c>
    </row>
    <row r="31" spans="1:17">
      <c r="A31" s="8" t="s">
        <v>92</v>
      </c>
      <c r="B31" s="8">
        <v>5</v>
      </c>
      <c r="C31" s="8" t="str">
        <f t="shared" si="0"/>
        <v>5</v>
      </c>
      <c r="H31" t="s">
        <v>93</v>
      </c>
      <c r="I31">
        <f>(IF(M1&lt;=2400,("N/A"),(IF(M1&lt;=3200,(2),("N/A")))))</f>
        <v>2</v>
      </c>
    </row>
    <row r="32" spans="1:17">
      <c r="H32" t="s">
        <v>94</v>
      </c>
      <c r="I32">
        <f>I25+I24</f>
        <v>1214</v>
      </c>
    </row>
    <row r="33" spans="1:9">
      <c r="A33" t="s">
        <v>95</v>
      </c>
      <c r="B33">
        <f>B25</f>
        <v>7</v>
      </c>
      <c r="C33" t="str">
        <f t="shared" si="0"/>
        <v>7</v>
      </c>
      <c r="H33" t="s">
        <v>96</v>
      </c>
      <c r="I33">
        <f>I25*M2-10</f>
        <v>260.06751687921985</v>
      </c>
    </row>
    <row r="34" spans="1:9">
      <c r="A34" t="s">
        <v>97</v>
      </c>
      <c r="B34">
        <f>B24</f>
        <v>7</v>
      </c>
      <c r="C34" t="str">
        <f t="shared" si="0"/>
        <v>7</v>
      </c>
      <c r="H34" t="s">
        <v>98</v>
      </c>
      <c r="I34">
        <f>(IF(M1&lt;=1600,(115),(IF(M1&lt;=1866,(100),(IF(M1&lt;=2133,(80),(IF(M1&lt;=2400,(62),(IF(M1&lt;=2666,(55),(IF(M1&lt;=2933,(48),(IF(M1&lt;=3200,(40),("N/A")))))))))))))))</f>
        <v>55</v>
      </c>
    </row>
    <row r="35" spans="1:9">
      <c r="H35" t="s">
        <v>99</v>
      </c>
      <c r="I35">
        <f>(IF(M1&lt;=1600,(140),(IF(M1&lt;=1866,(125),(IF(M1&lt;=2133,(105),(IF(M1&lt;=2400,(87),(IF(M1&lt;=2666,(80),(IF(M1&lt;=2933,(73),(IF(M1&lt;=3200,(65),("N/A")))))))))))))))</f>
        <v>80</v>
      </c>
    </row>
    <row r="36" spans="1:9">
      <c r="A36" t="s">
        <v>100</v>
      </c>
      <c r="B36">
        <f>IF(B39-IF(G5=0,ROUNDUP(I22/32,0),ROUNDUP(I22/32/2,0))&gt;0,IF(G5=0,ROUNDUP(I22/32,0),ROUNDUP(I22/32/2,0)),B39)</f>
        <v>3</v>
      </c>
      <c r="C36" t="str">
        <f t="shared" si="0"/>
        <v>3</v>
      </c>
      <c r="H36" t="s">
        <v>101</v>
      </c>
      <c r="I36">
        <f>(I34+I35)/1000</f>
        <v>0.13500000000000001</v>
      </c>
    </row>
    <row r="37" spans="1:9">
      <c r="A37" t="s">
        <v>102</v>
      </c>
      <c r="B37">
        <f>IF(G5=0,I23/32,ROUNDUP(I23/32/2,0))</f>
        <v>3</v>
      </c>
      <c r="C37" t="str">
        <f t="shared" si="0"/>
        <v>3</v>
      </c>
      <c r="H37" t="s">
        <v>103</v>
      </c>
      <c r="I37">
        <v>4</v>
      </c>
    </row>
    <row r="38" spans="1:9">
      <c r="A38" t="s">
        <v>104</v>
      </c>
      <c r="B38">
        <f>IF(G5=0,I24/32,ROUNDUP(I24/32/2,0))</f>
        <v>14</v>
      </c>
      <c r="C38" t="str">
        <f t="shared" si="0"/>
        <v>E</v>
      </c>
      <c r="H38" t="s">
        <v>105</v>
      </c>
      <c r="I38">
        <f>I14+I37</f>
        <v>28</v>
      </c>
    </row>
    <row r="39" spans="1:9">
      <c r="A39" t="s">
        <v>106</v>
      </c>
      <c r="B39">
        <f>IF(G5=0,I25/32,ROUNDUP(I25/32/2,0))</f>
        <v>6</v>
      </c>
      <c r="C39" t="str">
        <f t="shared" si="0"/>
        <v>6</v>
      </c>
      <c r="H39" t="s">
        <v>107</v>
      </c>
      <c r="I39">
        <f>I14+I1+I2</f>
        <v>24</v>
      </c>
    </row>
    <row r="40" spans="1:9">
      <c r="H40" t="s">
        <v>108</v>
      </c>
      <c r="I40">
        <f>ROUNDUP(IF(((10/M2)-16)&gt;0,(10/M2),16),0)</f>
        <v>16</v>
      </c>
    </row>
    <row r="41" spans="1:9">
      <c r="A41" t="s">
        <v>109</v>
      </c>
      <c r="B41">
        <f>IF(G1=0,1,0)</f>
        <v>1</v>
      </c>
      <c r="C41" t="str">
        <f t="shared" si="0"/>
        <v>1</v>
      </c>
    </row>
    <row r="42" spans="1:9">
      <c r="A42" t="s">
        <v>110</v>
      </c>
      <c r="B42">
        <f>IF(G5=0,I27,ROUNDUP(I27/2,0))</f>
        <v>2</v>
      </c>
      <c r="C42" t="str">
        <f t="shared" si="0"/>
        <v>2</v>
      </c>
    </row>
    <row r="43" spans="1:9">
      <c r="A43" t="s">
        <v>111</v>
      </c>
      <c r="B43">
        <f>IF(G5=0,I28,ROUNDUP(I28/2,0))</f>
        <v>4</v>
      </c>
      <c r="C43" t="str">
        <f t="shared" si="0"/>
        <v>4</v>
      </c>
    </row>
    <row r="44" spans="1:9">
      <c r="A44" t="s">
        <v>112</v>
      </c>
      <c r="B44">
        <f>I3+I2+E2/2+I29</f>
        <v>26</v>
      </c>
      <c r="C44" t="str">
        <f t="shared" si="0"/>
        <v>1A</v>
      </c>
    </row>
    <row r="46" spans="1:9">
      <c r="A46" t="s">
        <v>113</v>
      </c>
      <c r="B46">
        <f>IF(G5=0,(I14+4),ROUNDUP((I14+4)/2,0))</f>
        <v>14</v>
      </c>
      <c r="C46" t="str">
        <f t="shared" si="0"/>
        <v>E</v>
      </c>
    </row>
    <row r="47" spans="1:9">
      <c r="A47" t="s">
        <v>114</v>
      </c>
      <c r="B47">
        <f>IF(G5=0,(I14),ROUNDUP((I14)/2,0))</f>
        <v>12</v>
      </c>
      <c r="C47" t="str">
        <f t="shared" si="0"/>
        <v>C</v>
      </c>
    </row>
    <row r="48" spans="1:9">
      <c r="A48" t="s">
        <v>115</v>
      </c>
      <c r="B48">
        <f>IF(G5=0,(I30),ROUNDUP((I30)/2,0))</f>
        <v>1</v>
      </c>
      <c r="C48" t="str">
        <f t="shared" si="0"/>
        <v>1</v>
      </c>
    </row>
    <row r="49" spans="1:3">
      <c r="A49" t="s">
        <v>116</v>
      </c>
      <c r="B49">
        <f>IF(G5=0,(I31),ROUNDUP((I31)/2,0))</f>
        <v>1</v>
      </c>
      <c r="C49" t="str">
        <f t="shared" si="0"/>
        <v>1</v>
      </c>
    </row>
    <row r="51" spans="1:3">
      <c r="A51" t="s">
        <v>117</v>
      </c>
      <c r="B51">
        <f>IF(G5=0,ROUNDUP(I32/32,0),ROUNDUP(ROUNDUP(I32/32,0)/2,0))</f>
        <v>19</v>
      </c>
      <c r="C51" t="str">
        <f t="shared" si="0"/>
        <v>13</v>
      </c>
    </row>
    <row r="52" spans="1:3">
      <c r="A52" t="s">
        <v>118</v>
      </c>
      <c r="B52">
        <f>IF(G5=0,ROUNDUP(I33/M2,0),ROUNDUP(ROUNDUP(I33/M2,0)/2,0)+1)</f>
        <v>175</v>
      </c>
      <c r="C52" t="str">
        <f t="shared" si="0"/>
        <v>AF</v>
      </c>
    </row>
    <row r="53" spans="1:3">
      <c r="A53" t="s">
        <v>119</v>
      </c>
      <c r="B53">
        <f>IF(G5=0,ROUNDUP(I36/M2,0),ROUNDUP(ROUNDUP(I36/M2,0)/2,0))</f>
        <v>1</v>
      </c>
      <c r="C53" t="str">
        <f t="shared" si="0"/>
        <v>1</v>
      </c>
    </row>
    <row r="54" spans="1:3">
      <c r="A54" t="s">
        <v>120</v>
      </c>
      <c r="B54">
        <f>IF(G5=0,I38,ROUNDUP(I38/2,0))</f>
        <v>14</v>
      </c>
      <c r="C54" t="str">
        <f t="shared" si="0"/>
        <v>E</v>
      </c>
    </row>
    <row r="56" spans="1:3">
      <c r="A56" t="s">
        <v>121</v>
      </c>
      <c r="B56">
        <f>IF(G5=0,(I14+I1+I2),ROUNDUP((I14+I1+I2)/2,0))</f>
        <v>12</v>
      </c>
      <c r="C56" t="str">
        <f t="shared" si="0"/>
        <v>C</v>
      </c>
    </row>
    <row r="57" spans="1:3">
      <c r="A57" s="8" t="s">
        <v>122</v>
      </c>
      <c r="B57" s="8">
        <v>2</v>
      </c>
      <c r="C57" s="8" t="str">
        <f t="shared" si="0"/>
        <v>2</v>
      </c>
    </row>
    <row r="58" spans="1:3">
      <c r="A58" t="s">
        <v>123</v>
      </c>
      <c r="B58">
        <f>IF(G5=0,I40,ROUNDUP(I40/2,0))</f>
        <v>8</v>
      </c>
      <c r="C58" t="str">
        <f t="shared" si="0"/>
        <v>8</v>
      </c>
    </row>
    <row r="60" spans="1:3">
      <c r="A60" s="8" t="s">
        <v>124</v>
      </c>
      <c r="B60" s="8">
        <v>28</v>
      </c>
      <c r="C60" s="8" t="str">
        <f t="shared" si="0"/>
        <v>1C</v>
      </c>
    </row>
    <row r="61" spans="1:3">
      <c r="A61" s="8" t="s">
        <v>125</v>
      </c>
      <c r="B61" s="8">
        <v>32</v>
      </c>
      <c r="C61" s="8" t="str">
        <f t="shared" si="0"/>
        <v>20</v>
      </c>
    </row>
    <row r="62" spans="1:3">
      <c r="A62" s="8" t="s">
        <v>126</v>
      </c>
      <c r="B62" s="8">
        <v>4</v>
      </c>
      <c r="C62" s="8" t="str">
        <f t="shared" si="0"/>
        <v>4</v>
      </c>
    </row>
    <row r="63" spans="1:3">
      <c r="A63" s="8"/>
      <c r="B63" s="8"/>
      <c r="C63" s="8"/>
    </row>
    <row r="64" spans="1:3">
      <c r="A64" s="8" t="s">
        <v>127</v>
      </c>
      <c r="B64" s="8">
        <v>160</v>
      </c>
      <c r="C64" s="8" t="str">
        <f t="shared" si="0"/>
        <v>A0</v>
      </c>
    </row>
    <row r="66" spans="1:3">
      <c r="A66" t="s">
        <v>128</v>
      </c>
      <c r="C66" t="str">
        <f t="shared" ref="C66:C76" si="2">DEC2HEX(B66)</f>
        <v>0</v>
      </c>
    </row>
    <row r="67" spans="1:3">
      <c r="A67" t="s">
        <v>129</v>
      </c>
      <c r="C67" t="str">
        <f t="shared" si="2"/>
        <v>0</v>
      </c>
    </row>
    <row r="68" spans="1:3">
      <c r="A68" t="s">
        <v>130</v>
      </c>
      <c r="C68" t="str">
        <f t="shared" si="2"/>
        <v>0</v>
      </c>
    </row>
    <row r="70" spans="1:3">
      <c r="A70" t="s">
        <v>131</v>
      </c>
      <c r="C70" t="str">
        <f t="shared" si="2"/>
        <v>0</v>
      </c>
    </row>
    <row r="71" spans="1:3">
      <c r="A71" t="s">
        <v>132</v>
      </c>
      <c r="C71" t="str">
        <f t="shared" si="2"/>
        <v>0</v>
      </c>
    </row>
    <row r="72" spans="1:3">
      <c r="A72" t="s">
        <v>133</v>
      </c>
      <c r="C72" t="str">
        <f t="shared" si="2"/>
        <v>0</v>
      </c>
    </row>
    <row r="73" spans="1:3">
      <c r="A73" t="s">
        <v>134</v>
      </c>
      <c r="C73" t="str">
        <f t="shared" si="2"/>
        <v>0</v>
      </c>
    </row>
    <row r="75" spans="1:3">
      <c r="A75" s="8" t="s">
        <v>135</v>
      </c>
      <c r="B75" s="8">
        <v>0</v>
      </c>
      <c r="C75" s="8" t="str">
        <f t="shared" si="2"/>
        <v>0</v>
      </c>
    </row>
    <row r="76" spans="1:3">
      <c r="A76" s="8" t="s">
        <v>136</v>
      </c>
      <c r="B76" s="8">
        <v>0</v>
      </c>
      <c r="C76" s="8" t="str">
        <f t="shared" si="2"/>
        <v>0</v>
      </c>
    </row>
  </sheetData>
  <sheetProtection algorithmName="SHA-512" hashValue="l0js/33tc2J5MlIyMgMfxdSFxHsQ7HsaUAsOasx9fuL/0R5OS6kYL9g53XcR5VFhbHh2nzFnSEZcrI/s4ZI4YA==" saltValue="uR4dyvYXEty5jBL/JtCjmw==" spinCount="100000" sheet="1" objects="1" scenarios="1"/>
  <protectedRanges>
    <protectedRange sqref="E2" name="区域3"/>
    <protectedRange sqref="M1" name="区域2"/>
    <protectedRange sqref="G1:G11" name="区域1"/>
  </protectedRange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"/>
  <sheetViews>
    <sheetView tabSelected="1" topLeftCell="A7" workbookViewId="0">
      <selection activeCell="P26" sqref="P26"/>
    </sheetView>
  </sheetViews>
  <sheetFormatPr defaultRowHeight="15"/>
  <cols>
    <col min="1" max="1" width="15.42578125" customWidth="1"/>
    <col min="2" max="2" width="5.85546875" customWidth="1"/>
    <col min="3" max="3" width="4.85546875" style="11" customWidth="1"/>
    <col min="5" max="5" width="6.85546875" customWidth="1"/>
    <col min="6" max="6" width="15.7109375" bestFit="1" customWidth="1"/>
    <col min="8" max="8" width="10.5703125" bestFit="1" customWidth="1"/>
    <col min="10" max="10" width="45.140625" bestFit="1" customWidth="1"/>
    <col min="11" max="11" width="12.42578125" bestFit="1" customWidth="1"/>
    <col min="12" max="12" width="4.140625" customWidth="1"/>
    <col min="13" max="13" width="4.7109375" style="12" customWidth="1"/>
    <col min="18" max="18" width="12.42578125" bestFit="1" customWidth="1"/>
    <col min="19" max="19" width="10" bestFit="1" customWidth="1"/>
  </cols>
  <sheetData>
    <row r="1" spans="1:21">
      <c r="A1" t="s">
        <v>0</v>
      </c>
      <c r="B1">
        <f>IF((G1=1),ROUNDDOWN(((((E1+(E2/2))*O2)+(E3))/O2/2),0),(ROUNDUP(((((E1+(E2/2))*O2)+(E3))/O2/2),0)))</f>
        <v>23</v>
      </c>
      <c r="C1" s="11" t="str">
        <f>DEC2HEX(B1)</f>
        <v>17</v>
      </c>
      <c r="D1" t="s">
        <v>1</v>
      </c>
      <c r="E1">
        <f>(I1+I2+I3)</f>
        <v>18</v>
      </c>
      <c r="F1" t="s">
        <v>2</v>
      </c>
      <c r="G1" s="1">
        <v>0</v>
      </c>
      <c r="H1" t="s">
        <v>3</v>
      </c>
      <c r="I1">
        <f>IF(G4=0,0,I4-G4)</f>
        <v>0</v>
      </c>
      <c r="K1" t="s">
        <v>4</v>
      </c>
      <c r="L1">
        <f>IF((G2),(IF(O1&lt;=2133,(1),(IF(O1&lt;=2666,(2),(IF(O1&lt;=3200,(3),("RFU"))))))),0)</f>
        <v>0</v>
      </c>
      <c r="M1" s="12" t="str">
        <f>DEC2HEX(L1)</f>
        <v>0</v>
      </c>
      <c r="N1" t="s">
        <v>5</v>
      </c>
      <c r="O1" s="1">
        <v>3200</v>
      </c>
      <c r="P1" s="1"/>
      <c r="Q1" s="1"/>
      <c r="R1" s="1"/>
      <c r="S1" s="1"/>
      <c r="T1" s="1"/>
      <c r="U1" s="1"/>
    </row>
    <row r="2" spans="1:21">
      <c r="A2" t="s">
        <v>6</v>
      </c>
      <c r="B2">
        <f>IF(G5=1,ROUNDUP(E4/O2/2,0),ROUNDDOWN(E4/O2,0))</f>
        <v>24</v>
      </c>
      <c r="C2" s="11" t="str">
        <f t="shared" ref="C2:C64" si="0">DEC2HEX(B2)</f>
        <v>18</v>
      </c>
      <c r="D2" t="s">
        <v>7</v>
      </c>
      <c r="E2" s="1">
        <v>8</v>
      </c>
      <c r="F2" t="s">
        <v>8</v>
      </c>
      <c r="G2" s="1">
        <v>0</v>
      </c>
      <c r="H2" t="s">
        <v>9</v>
      </c>
      <c r="I2">
        <f>IF(L1=0,0,(IF(L1=1,(4),(IF(L1=2,(5),(IF(L1=3,(6),("FRU"))))))))</f>
        <v>0</v>
      </c>
      <c r="K2" t="s">
        <v>10</v>
      </c>
      <c r="L2">
        <f>G4</f>
        <v>0</v>
      </c>
      <c r="M2" s="12" t="str">
        <f t="shared" ref="M2:M61" si="1">DEC2HEX(L2)</f>
        <v>0</v>
      </c>
      <c r="N2" t="s">
        <v>11</v>
      </c>
      <c r="O2">
        <f>2000/O1</f>
        <v>0.625</v>
      </c>
      <c r="R2" s="2" t="s">
        <v>12</v>
      </c>
      <c r="S2" s="2" t="str">
        <f>DEC2HEX(B4+B3*POWER(2,8)+B2*POWER(2,16)+B1*POWER(2,24),8)</f>
        <v>17183619</v>
      </c>
    </row>
    <row r="3" spans="1:21">
      <c r="A3" t="s">
        <v>13</v>
      </c>
      <c r="B3">
        <f>IF(G5=1,(ROUNDDOWN(ROUNDDOWN((((E6/O2/1024)-1)/2),0),0)),(ROUNDDOWN((E6/O2/1024),0)))</f>
        <v>54</v>
      </c>
      <c r="C3" s="11" t="str">
        <f t="shared" si="0"/>
        <v>36</v>
      </c>
      <c r="D3" t="s">
        <v>14</v>
      </c>
      <c r="E3">
        <v>15</v>
      </c>
      <c r="F3" t="s">
        <v>15</v>
      </c>
      <c r="G3" s="1">
        <v>0</v>
      </c>
      <c r="H3" t="s">
        <v>16</v>
      </c>
      <c r="I3">
        <f>IF(G8,(IF(G1,(IF(O1&lt;=1600,(11),(IF(O1&lt;=1866,(12),(IF(O1&lt;=2133,(14),(IF(O1&lt;=2400,(16),(IF(O1&lt;=2666,(18),(IF(O1&lt;=2933,(20),(IF(O1&lt;=3200,(20),(12))))))))))))))),(IF(O1&lt;=1600,("N/A"),(IF(O1&lt;=1866,("N/A"),(IF(O1&lt;=2133,("N/A"),(IF(O1&lt;=2400,(16),(IF(O1&lt;=2666,(18),(IF(O1&lt;=2933,(20),(IF(O1&lt;=3200,(20),(12))))))))))))))))),(IF(G1,(IF(O1&lt;=1600,(9),(IF(O1&lt;=1866,(10),(IF(O1&lt;=2133,(11),(IF(O1&lt;=2400,(12),(IF(O1&lt;=2666,(14),(IF(O1&lt;=2933,(16),(IF(O1&lt;=3200,(16),("N/A"))))))))))))))),(IF(O1&lt;=1600,("N/A"),(IF(O1&lt;=1866,("N/A"),(IF(O1&lt;=2133,("N/A"),(IF(O1&lt;=2400,(14),(IF(O1&lt;=2666,(16),(IF(O1&lt;=2933,(18),(IF(O1&lt;=3200,(18),("N/A"))))))))))))))))))</f>
        <v>18</v>
      </c>
      <c r="K3" t="s">
        <v>140</v>
      </c>
      <c r="L3">
        <v>0</v>
      </c>
      <c r="M3" s="12" t="str">
        <f t="shared" si="1"/>
        <v>0</v>
      </c>
      <c r="R3" s="2" t="s">
        <v>17</v>
      </c>
      <c r="S3" s="2" t="str">
        <f>DEC2HEX(B8+B7*POWER(2,8)+B6*POWER(2,16),8)</f>
        <v>00050626</v>
      </c>
    </row>
    <row r="4" spans="1:21">
      <c r="A4" t="s">
        <v>18</v>
      </c>
      <c r="B4">
        <f>IF(G5=1,IF(G1,ROUNDDOWN((E5/O2/2),0),ROUNDDOWN(E5/O2/2,0)),ROUNDUP(E5/O2,0))</f>
        <v>25</v>
      </c>
      <c r="C4" s="11" t="str">
        <f t="shared" si="0"/>
        <v>19</v>
      </c>
      <c r="D4" t="s">
        <v>19</v>
      </c>
      <c r="E4" s="3">
        <f>IF((G6=2),(IF((O1&lt;=2400),(IF(((28*O2)-35&gt;0),(ROUNDUP((28*O2),0)),(35))),(IF(((28*O2)-30&gt;0),(ROUNDUP((28*O2),0)),(30))))),IF((G6=1),(IF((O1&lt;=2400),(IF(((20*O2)-25&gt;0),(ROUNDUP((20*O2),0)),(25))),(IF(((20*O2)-21&gt;0),(ROUNDUP((20*O2),0)),(21))))),IF((G6=0),(IF((O1&lt;=2400),(IF(((16*O2)-20&gt;0),(ROUNDUP((16*O2),0)),(20))),(IF(((16*O2)-12&gt;0),(ROUNDUP((16*O2),0)),(12))))),"N/A")))</f>
        <v>30</v>
      </c>
      <c r="F4" t="s">
        <v>20</v>
      </c>
      <c r="G4" s="1">
        <v>0</v>
      </c>
      <c r="H4" t="s">
        <v>21</v>
      </c>
      <c r="I4">
        <f>IF(G3,(IF(O1&lt;=1600,(14),(IF(O1&lt;=1866,(16),(IF(O1&lt;=2133,(19),(IF(O1&lt;=2400,(21),(IF(O1&lt;=2666,(23),(IF(O1&lt;=2933,(26),(IF(O1&lt;=3200,(28),("N/A"))))))))))))))),(IF(O1&lt;=1600,(12),(IF(O1&lt;=1866,(14),(IF(O1&lt;=2133,(16),(IF(O1&lt;=2400,(18),(IF(O1&lt;=2666,(20),(IF(O1&lt;=2933,(22),(IF(O1&lt;=3200,(24),("N/A"))))))))))))))))</f>
        <v>24</v>
      </c>
      <c r="J4" t="s">
        <v>230</v>
      </c>
      <c r="K4" t="s">
        <v>141</v>
      </c>
      <c r="L4">
        <f>IF(I9=5,0,IF(I9=6,1,IF(I9=7,2,IF(I9=8,3,IF(I9=9,4,IF(I9=10,5,IF(I9=12,6,IF(I9=11,7,IF(I9=13,8,IF(I9=14,9,"N/A"))))))))))</f>
        <v>6</v>
      </c>
      <c r="M4" s="12" t="str">
        <f t="shared" si="1"/>
        <v>6</v>
      </c>
      <c r="R4" s="2" t="s">
        <v>22</v>
      </c>
      <c r="S4" s="2" t="str">
        <f>DEC2HEX(B13+B12*POWER(2,8)+B11*POWER(2,16)+B10*POWER(2,24),8)</f>
        <v>090C0712</v>
      </c>
    </row>
    <row r="5" spans="1:21" ht="13.5" customHeight="1">
      <c r="D5" s="4" t="s">
        <v>23</v>
      </c>
      <c r="E5">
        <f>(IF(O1&lt;=1600,(35),(IF(O1&lt;=1866,(34),(IF(O1&lt;=2133,(33),(IF(O1&lt;=2400,(32),(IF(O1&lt;=2666,(32),(IF(O1&lt;=2933,(32),(IF(O1&lt;=3200,(32),("N/A")))))))))))))))</f>
        <v>32</v>
      </c>
      <c r="F5" s="3" t="s">
        <v>24</v>
      </c>
      <c r="G5" s="1">
        <v>1</v>
      </c>
      <c r="H5" t="s">
        <v>25</v>
      </c>
      <c r="I5">
        <v>7.8</v>
      </c>
      <c r="K5" t="s">
        <v>142</v>
      </c>
      <c r="L5">
        <f>INT((IF(I9=5,0,IF(I9=6,1,IF(I9=7,2,IF(I9=8,3,IF(I9=9,4,IF(I9=10,5,IF(I9=12,6,IF(I9=11,7,IF(I9=13,8,IF(I9=14,9,"N/A")))))))))))/8)</f>
        <v>0</v>
      </c>
      <c r="M5" s="12" t="str">
        <f t="shared" si="1"/>
        <v>0</v>
      </c>
      <c r="R5" s="2" t="s">
        <v>26</v>
      </c>
      <c r="S5" s="2" t="str">
        <f>DEC2HEX(B17+B16*POWER(2,12)+B15*POWER(2,20),8)</f>
        <v>0050400C</v>
      </c>
    </row>
    <row r="6" spans="1:21" ht="17.25" customHeight="1">
      <c r="A6" t="s">
        <v>27</v>
      </c>
      <c r="B6">
        <f>ROUNDUP(IF(G2,(IF(G5,(I8/2),ROUNDUP(I8/2,0)))+I2,(IF(G5,(I8/2),ROUNDUP(I8/2,0)))),0)</f>
        <v>5</v>
      </c>
      <c r="C6" s="11" t="str">
        <f t="shared" si="0"/>
        <v>5</v>
      </c>
      <c r="D6" s="4" t="s">
        <v>28</v>
      </c>
      <c r="E6">
        <f>9*I6*1000</f>
        <v>70200</v>
      </c>
      <c r="F6" s="5" t="s">
        <v>29</v>
      </c>
      <c r="G6" s="1">
        <v>2</v>
      </c>
      <c r="H6" t="s">
        <v>30</v>
      </c>
      <c r="I6">
        <f>(I5/(POWER(2,G7)))</f>
        <v>7.8</v>
      </c>
      <c r="K6" t="s">
        <v>143</v>
      </c>
      <c r="L6">
        <f>MOD((IF(I9=5,0,IF(I9=6,1,IF(I9=7,2,IF(I9=8,3,IF(I9=9,4,IF(I9=10,5,IF(I9=12,6,IF(I9=11,7,IF(I9=13,8,IF(I9=14,9,"N/A"))))))))))),8)</f>
        <v>6</v>
      </c>
      <c r="M6" s="12" t="str">
        <f t="shared" si="1"/>
        <v>6</v>
      </c>
      <c r="R6" s="2" t="s">
        <v>31</v>
      </c>
      <c r="S6" s="2" t="str">
        <f>DEC2HEX(B22+B21*POWER(2,8)+B20*POWER(2,16)+B19*POWER(2,24),8)</f>
        <v>0C04060D</v>
      </c>
    </row>
    <row r="7" spans="1:21">
      <c r="A7" t="s">
        <v>32</v>
      </c>
      <c r="B7">
        <f>IF(G5=0,(IF((I9+I1)-(E7+E2/2-(ROUNDUP(I10/O2,0)))&gt;0,(I9+I1),(E7+E2/2-(ROUNDUP(I10/O2,0))))),(IF(G1=1,ROUNDDOWN(IF((I9+I1)-(E7+E2/2-(ROUNDUP(I10/O2,0)))&gt;0,(I9+I1),(E7+E2/2-(ROUNDUP(I10/O2,0))))/2,0),ROUNDUP((IF((I9+I1)-(E7+E2/2-(ROUNDUP(I10/O2,0)))&gt;0,(I9+I1),(E7+E2/2-(ROUNDUP(I10/O2,0)))))/2,0))))</f>
        <v>6</v>
      </c>
      <c r="C7" s="11" t="str">
        <f t="shared" si="0"/>
        <v>6</v>
      </c>
      <c r="D7" t="s">
        <v>33</v>
      </c>
      <c r="E7">
        <f>I1+I4</f>
        <v>24</v>
      </c>
      <c r="F7" t="s">
        <v>34</v>
      </c>
      <c r="G7" s="1">
        <v>0</v>
      </c>
      <c r="H7" t="s">
        <v>30</v>
      </c>
      <c r="I7">
        <f>(I5/(POWER(2,G7+1)))</f>
        <v>3.9</v>
      </c>
      <c r="J7" t="s">
        <v>145</v>
      </c>
      <c r="K7" t="s">
        <v>144</v>
      </c>
      <c r="L7">
        <f>E8</f>
        <v>0</v>
      </c>
      <c r="M7" s="12" t="str">
        <f t="shared" si="1"/>
        <v>0</v>
      </c>
      <c r="R7" s="2" t="s">
        <v>35</v>
      </c>
      <c r="S7" s="2" t="str">
        <f>DEC2HEX(B27+B26*POWER(2,8)+B25*POWER(2,16)+B24*POWER(2,24),8)</f>
        <v>08080504</v>
      </c>
    </row>
    <row r="8" spans="1:21">
      <c r="A8" t="s">
        <v>36</v>
      </c>
      <c r="B8">
        <f>IF(G5=0,ROUNDUP(I11/O2,0),IF(G1=1,ROUNDDOWN(ROUNDUP(I11/O2,0)/2,0),ROUNDUP(ROUNDUP(I11/O2,0)/2,0)))</f>
        <v>38</v>
      </c>
      <c r="C8" s="11" t="str">
        <f t="shared" si="0"/>
        <v>26</v>
      </c>
      <c r="D8" t="s">
        <v>145</v>
      </c>
      <c r="E8">
        <v>0</v>
      </c>
      <c r="F8" t="s">
        <v>37</v>
      </c>
      <c r="G8" s="1">
        <v>0</v>
      </c>
      <c r="H8" s="6" t="s">
        <v>38</v>
      </c>
      <c r="I8">
        <f>ROUNDUP(IF(((6/O2)-4)&gt;0,(6/O2),4),0)</f>
        <v>10</v>
      </c>
      <c r="J8" t="s">
        <v>231</v>
      </c>
      <c r="K8" t="s">
        <v>146</v>
      </c>
      <c r="L8">
        <v>0</v>
      </c>
      <c r="M8" s="12" t="str">
        <f t="shared" si="1"/>
        <v>0</v>
      </c>
      <c r="R8" s="9" t="s">
        <v>39</v>
      </c>
      <c r="S8" s="9" t="str">
        <f>DEC2HEX(B31+B30*POWER(2,16)+B29*POWER(2,24),8)</f>
        <v>02020005</v>
      </c>
    </row>
    <row r="9" spans="1:21">
      <c r="F9" t="s">
        <v>40</v>
      </c>
      <c r="G9" s="1">
        <v>110</v>
      </c>
      <c r="H9" s="4" t="s">
        <v>41</v>
      </c>
      <c r="I9">
        <f>ROUNDUP(IF(((7.5/O2)-4)&gt;0,(7.5/O2),4),0)</f>
        <v>12</v>
      </c>
      <c r="J9" t="s">
        <v>232</v>
      </c>
      <c r="K9" t="s">
        <v>147</v>
      </c>
      <c r="L9">
        <f>IF(I4=9,0,IF(I4=10,1,IF(I4=11,2,IF(I4=11,2,IF(I4=12,3,IF(I4=13,4,IF(I4=14,5,IF(I4=15,6,IF(I4=16,7,IF(I4=18,8,IF(I4=20,9,IF(I4=22,10,IF(I4=24,11,IF(I4=23,12,IF(I4=17,13,IF(I4=19,14,IF(I4=21,15,IF(I4=25,16,IF(I4=26,17,IF(I4=27,18,IF(I4=28,19,IF(I4=29,20,IF(I4=30,21,IF(I4=31,22,IF(I4=32,23,"N/A")))))))))))))))))))))))))</f>
        <v>11</v>
      </c>
      <c r="M9" s="12" t="str">
        <f t="shared" si="1"/>
        <v>B</v>
      </c>
      <c r="R9" s="9" t="s">
        <v>42</v>
      </c>
      <c r="S9" s="9" t="str">
        <f>DEC2HEX(B34+B33*POWER(2,8),8)</f>
        <v>00000808</v>
      </c>
    </row>
    <row r="10" spans="1:21">
      <c r="A10" t="s">
        <v>43</v>
      </c>
      <c r="B10">
        <f>IF(G5=0,E1,ROUNDUP(E1/2,0))</f>
        <v>9</v>
      </c>
      <c r="C10" s="11" t="str">
        <f t="shared" si="0"/>
        <v>9</v>
      </c>
      <c r="F10" t="s">
        <v>44</v>
      </c>
      <c r="G10" s="1">
        <v>260</v>
      </c>
      <c r="H10" s="4" t="s">
        <v>45</v>
      </c>
      <c r="I10">
        <f>IF(1,15,(IF(O1&lt;=1600,(15),(IF(O1&lt;=1866,(15),(IF(O1&lt;=2133,(15),(IF(O1&lt;=2400,(14.16),(IF(O1&lt;=2666,(14.25),(IF(O1&lt;=2933,(15),(IF(O1&lt;=3200,(15),("N/A"))))))))))))))))</f>
        <v>15</v>
      </c>
      <c r="J10" t="s">
        <v>233</v>
      </c>
      <c r="K10" t="s">
        <v>148</v>
      </c>
      <c r="L10" s="1">
        <v>0</v>
      </c>
      <c r="M10" s="12" t="str">
        <f t="shared" si="1"/>
        <v>0</v>
      </c>
      <c r="R10" s="2" t="s">
        <v>46</v>
      </c>
      <c r="S10" s="2" t="str">
        <f>DEC2HEX(B39+B38*POWER(2,8)+B37*POWER(2,16)+B36*POWER(2,24),8)</f>
        <v>03031005</v>
      </c>
    </row>
    <row r="11" spans="1:21">
      <c r="A11" t="s">
        <v>47</v>
      </c>
      <c r="B11">
        <f>IF(G5=0,E7,ROUNDUP(E7/2,0))</f>
        <v>12</v>
      </c>
      <c r="C11" s="11" t="str">
        <f t="shared" si="0"/>
        <v>C</v>
      </c>
      <c r="F11" t="s">
        <v>48</v>
      </c>
      <c r="G11" s="1">
        <v>0</v>
      </c>
      <c r="H11" t="s">
        <v>49</v>
      </c>
      <c r="I11">
        <f>E5+I10</f>
        <v>47</v>
      </c>
      <c r="J11" t="s">
        <v>234</v>
      </c>
      <c r="K11" t="s">
        <v>149</v>
      </c>
      <c r="L11" s="1">
        <v>0</v>
      </c>
      <c r="M11" s="12" t="str">
        <f t="shared" si="1"/>
        <v>0</v>
      </c>
      <c r="R11" s="2" t="s">
        <v>50</v>
      </c>
      <c r="S11" s="2" t="str">
        <f>DEC2HEX(B44+B43*POWER(2,8)+B42*POWER(2,16)+B41*POWER(2,30),8)</f>
        <v>4002050E</v>
      </c>
    </row>
    <row r="12" spans="1:21">
      <c r="A12" t="s">
        <v>51</v>
      </c>
      <c r="B12">
        <f>IF(G5=0,(E7+E2/2+1+IF(G1=0,2,1)-E1),ROUNDUP((E7+E2/2+1+IF(G1=0,2,1)-E1)/2,0))</f>
        <v>7</v>
      </c>
      <c r="C12" s="11" t="str">
        <f t="shared" si="0"/>
        <v>7</v>
      </c>
      <c r="F12" t="s">
        <v>150</v>
      </c>
      <c r="G12" s="1">
        <v>0</v>
      </c>
      <c r="H12" t="s">
        <v>52</v>
      </c>
      <c r="I12">
        <f>ROUNDUP(IF(((7.5/O2)-4)&gt;0,(7.5/O2),4),0)</f>
        <v>12</v>
      </c>
      <c r="R12" s="2" t="s">
        <v>53</v>
      </c>
      <c r="S12" s="2" t="str">
        <f>DEC2HEX(B49+B47*POWER(2,8)+B46*POWER(2,16)+B48*POWER(2,2),8)</f>
        <v>000E0C05</v>
      </c>
    </row>
    <row r="13" spans="1:21">
      <c r="A13" t="s">
        <v>54</v>
      </c>
      <c r="B13">
        <f>IF(G5=0,(I3+I2+E2/2+I12+IF(G1=0,1,0)),ROUNDUP((I3+I2+E2/2+I12+IF(G1=0,1,0))/2,0))</f>
        <v>18</v>
      </c>
      <c r="C13" s="11" t="str">
        <f t="shared" si="0"/>
        <v>12</v>
      </c>
      <c r="F13" t="s">
        <v>151</v>
      </c>
      <c r="G13" s="1">
        <v>1</v>
      </c>
      <c r="H13" t="s">
        <v>55</v>
      </c>
      <c r="I13">
        <v>8</v>
      </c>
      <c r="J13" t="s">
        <v>235</v>
      </c>
      <c r="K13" t="s">
        <v>152</v>
      </c>
      <c r="L13" s="1">
        <v>0</v>
      </c>
      <c r="M13" s="12" t="str">
        <f t="shared" si="1"/>
        <v>0</v>
      </c>
      <c r="R13" s="2" t="s">
        <v>56</v>
      </c>
      <c r="S13" s="2" t="str">
        <f>DEC2HEX(B54+B53*POWER(2,8)+B52*POWER(2,16)+B51*POWER(2,24),8)</f>
        <v>150B010E</v>
      </c>
    </row>
    <row r="14" spans="1:21">
      <c r="H14" t="s">
        <v>57</v>
      </c>
      <c r="I14">
        <f>ROUNDUP(IF(((15/O2)-24)&gt;0,(15/O2),24),0)</f>
        <v>24</v>
      </c>
      <c r="J14" t="s">
        <v>236</v>
      </c>
      <c r="K14" t="s">
        <v>153</v>
      </c>
      <c r="L14" s="1">
        <v>0</v>
      </c>
      <c r="M14" s="12" t="str">
        <f t="shared" si="1"/>
        <v>0</v>
      </c>
      <c r="R14" s="2" t="s">
        <v>58</v>
      </c>
      <c r="S14" s="2" t="str">
        <f>DEC2HEX(B58+B57*POWER(2,16)+B56*POWER(2,24),8)</f>
        <v>0C020008</v>
      </c>
    </row>
    <row r="15" spans="1:21">
      <c r="A15" s="8" t="s">
        <v>59</v>
      </c>
      <c r="B15" s="8">
        <v>5</v>
      </c>
      <c r="C15" s="13" t="str">
        <f t="shared" si="0"/>
        <v>5</v>
      </c>
      <c r="H15" t="s">
        <v>60</v>
      </c>
      <c r="I15">
        <f>IF(1,15,(IF(O1&lt;=1600,(15),(IF(O1&lt;=1866,(15),(IF(O1&lt;=2133,(15),(IF(O1&lt;=2400,(14.16),(IF(O1&lt;=2666,(14.25),(IF(O1&lt;=2933,(15),(IF(O1&lt;=3200,(15),("N/A"))))))))))))))))</f>
        <v>15</v>
      </c>
      <c r="J15" t="s">
        <v>237</v>
      </c>
      <c r="K15" t="s">
        <v>154</v>
      </c>
      <c r="L15" s="1">
        <v>1</v>
      </c>
      <c r="M15" s="12" t="str">
        <f t="shared" si="1"/>
        <v>1</v>
      </c>
      <c r="R15" s="9" t="s">
        <v>61</v>
      </c>
      <c r="S15" s="9" t="str">
        <f>DEC2HEX(B62+B61*POWER(2,16)+B60*POWER(2,24),8)</f>
        <v>1C200004</v>
      </c>
    </row>
    <row r="16" spans="1:21">
      <c r="A16" t="s">
        <v>62</v>
      </c>
      <c r="B16">
        <f>IF(G5=0,I13,ROUNDUP(I13/2,0))</f>
        <v>4</v>
      </c>
      <c r="C16" s="11" t="str">
        <f t="shared" si="0"/>
        <v>4</v>
      </c>
      <c r="H16" t="s">
        <v>63</v>
      </c>
      <c r="I16">
        <f>ROUNDUP(IF((((IF(O1&lt;=1600,(6.25),(IF(O1&lt;=1866,(5.355),(IF(O1&lt;=2400,(5),(5)))))))/O2)-4)&gt;0,((IF(O1&lt;=1600,(6.25),(IF(O1&lt;=1866,(5.355),(IF(O1&lt;=2400,(5),(5)))))))/O2),4),0)</f>
        <v>8</v>
      </c>
      <c r="J16" t="s">
        <v>238</v>
      </c>
      <c r="K16" t="s">
        <v>155</v>
      </c>
      <c r="L16" s="14">
        <v>0</v>
      </c>
      <c r="M16" s="12" t="str">
        <f t="shared" si="1"/>
        <v>0</v>
      </c>
      <c r="R16" s="9" t="s">
        <v>64</v>
      </c>
      <c r="S16" s="9" t="str">
        <f>DEC2HEX(B64,8)</f>
        <v>000000A0</v>
      </c>
    </row>
    <row r="17" spans="1:20">
      <c r="A17" t="s">
        <v>65</v>
      </c>
      <c r="B17">
        <f>IF(G5=0,I14,ROUNDUP(I14/2,0))</f>
        <v>12</v>
      </c>
      <c r="C17" s="11" t="str">
        <f t="shared" si="0"/>
        <v>C</v>
      </c>
      <c r="H17" t="s">
        <v>66</v>
      </c>
      <c r="I17">
        <f>ROUNDUP(IF(((IF(G6=2,(IF(O1&lt;=1600,(7.5),(6.4))),(IF(O1&lt;=1600,(6),(IF(O1&lt;=2133,(5.3),(4.9))))))/O2)&gt;4),(IF(G6=2,(IF(O1&lt;=1600,(7.5),(6.4))),(IF(O1&lt;=1600,(6),(IF(O1&lt;=2133,(5.3),(4.9))))))/O2),4),0)</f>
        <v>11</v>
      </c>
      <c r="J17" t="s">
        <v>239</v>
      </c>
      <c r="K17" t="s">
        <v>156</v>
      </c>
      <c r="L17" s="14">
        <v>0</v>
      </c>
      <c r="M17" s="12" t="str">
        <f t="shared" si="1"/>
        <v>0</v>
      </c>
      <c r="R17" s="2" t="s">
        <v>67</v>
      </c>
      <c r="S17" s="2" t="str">
        <f>DEC2HEX(B68+B67*POWER(2,24)+B66*POWER(2,31),8)</f>
        <v>00000000</v>
      </c>
    </row>
    <row r="18" spans="1:20">
      <c r="H18" t="s">
        <v>68</v>
      </c>
      <c r="I18">
        <f>ROUNDUP(IF(((10/O2)-5)&gt;0,(10/O2),5),0)</f>
        <v>16</v>
      </c>
      <c r="J18" t="s">
        <v>240</v>
      </c>
      <c r="K18" t="s">
        <v>10</v>
      </c>
      <c r="L18" s="14">
        <f>G4</f>
        <v>0</v>
      </c>
      <c r="M18" s="12" t="str">
        <f t="shared" si="1"/>
        <v>0</v>
      </c>
      <c r="R18" s="2" t="s">
        <v>137</v>
      </c>
      <c r="S18" s="2" t="str">
        <f t="shared" ref="S18:S19" si="2">DEC2HEX(B69+B68*POWER(2,24)+B67*POWER(2,31),8)</f>
        <v>00000000</v>
      </c>
    </row>
    <row r="19" spans="1:20">
      <c r="A19" t="s">
        <v>69</v>
      </c>
      <c r="B19">
        <f>IF(G5=0,IF((ROUNDUP(I15/O2,0)-I1)&gt;0,ROUNDUP(I15/O2,0),I1),ROUNDUP(IF((ROUNDUP(I15/O2,0)-I1)&gt;0,ROUNDUP(I15/O2,0),I1)/2,0))</f>
        <v>12</v>
      </c>
      <c r="C19" s="11" t="str">
        <f t="shared" si="0"/>
        <v>C</v>
      </c>
      <c r="H19" t="s">
        <v>70</v>
      </c>
      <c r="I19">
        <f>ROUNDUP(IF(((10/O2)-5)&gt;0,(10/O2),5),0)</f>
        <v>16</v>
      </c>
      <c r="J19" t="s">
        <v>241</v>
      </c>
      <c r="K19" t="s">
        <v>157</v>
      </c>
      <c r="L19" s="14">
        <v>1</v>
      </c>
      <c r="M19" s="12" t="str">
        <f t="shared" si="1"/>
        <v>1</v>
      </c>
      <c r="R19" s="9" t="s">
        <v>138</v>
      </c>
      <c r="S19" s="9" t="str">
        <f t="shared" si="2"/>
        <v>00000000</v>
      </c>
    </row>
    <row r="20" spans="1:20">
      <c r="A20" t="s">
        <v>71</v>
      </c>
      <c r="B20">
        <f>IF(G5=0,I16,ROUNDUP(I16/2,0))</f>
        <v>4</v>
      </c>
      <c r="C20" s="11" t="str">
        <f t="shared" si="0"/>
        <v>4</v>
      </c>
      <c r="H20" t="s">
        <v>72</v>
      </c>
      <c r="I20">
        <f>ROUNDUP(IF(((5/O2)-3)&gt;0,(5/O2),3),0)</f>
        <v>8</v>
      </c>
      <c r="J20" t="s">
        <v>242</v>
      </c>
      <c r="K20" t="s">
        <v>158</v>
      </c>
      <c r="L20" s="1">
        <v>1</v>
      </c>
      <c r="M20" s="12" t="str">
        <f t="shared" si="1"/>
        <v>1</v>
      </c>
      <c r="Q20" s="15"/>
      <c r="R20" s="16"/>
      <c r="S20" s="16"/>
      <c r="T20" s="15"/>
    </row>
    <row r="21" spans="1:20">
      <c r="A21" t="s">
        <v>73</v>
      </c>
      <c r="B21">
        <f>IF(G5=0,I17,ROUNDUP(I17/2,0))</f>
        <v>6</v>
      </c>
      <c r="C21" s="11" t="str">
        <f t="shared" si="0"/>
        <v>6</v>
      </c>
      <c r="H21" t="s">
        <v>74</v>
      </c>
      <c r="I21">
        <f>I20+1</f>
        <v>9</v>
      </c>
    </row>
    <row r="22" spans="1:20">
      <c r="A22" t="s">
        <v>75</v>
      </c>
      <c r="B22">
        <f>IF(G5=0,ROUNDUP(I10/O2,0),ROUNDUP(ROUNDUP(I10/O2,0)/2,0)+1)</f>
        <v>13</v>
      </c>
      <c r="C22" s="11" t="str">
        <f t="shared" si="0"/>
        <v>D</v>
      </c>
      <c r="H22" t="s">
        <v>76</v>
      </c>
      <c r="I22">
        <f>G9+10</f>
        <v>120</v>
      </c>
      <c r="J22" t="s">
        <v>243</v>
      </c>
      <c r="K22" t="s">
        <v>159</v>
      </c>
      <c r="L22" s="1">
        <v>0</v>
      </c>
      <c r="M22" s="12" t="str">
        <f t="shared" si="1"/>
        <v>0</v>
      </c>
    </row>
    <row r="23" spans="1:20">
      <c r="H23" t="s">
        <v>77</v>
      </c>
      <c r="I23">
        <f>G9+10</f>
        <v>120</v>
      </c>
      <c r="J23" t="s">
        <v>244</v>
      </c>
      <c r="K23" t="s">
        <v>160</v>
      </c>
      <c r="L23">
        <v>4</v>
      </c>
      <c r="M23" s="12" t="str">
        <f t="shared" si="1"/>
        <v>4</v>
      </c>
    </row>
    <row r="24" spans="1:20">
      <c r="A24" t="s">
        <v>78</v>
      </c>
      <c r="B24">
        <f>IF(G5=0,I18,ROUNDUP(I18/2,0))</f>
        <v>8</v>
      </c>
      <c r="C24" s="11" t="str">
        <f t="shared" si="0"/>
        <v>8</v>
      </c>
      <c r="H24" t="s">
        <v>79</v>
      </c>
      <c r="I24">
        <f>I26</f>
        <v>1024</v>
      </c>
      <c r="J24" t="s">
        <v>245</v>
      </c>
      <c r="K24" t="s">
        <v>161</v>
      </c>
      <c r="L24" s="1">
        <v>0</v>
      </c>
      <c r="M24" s="12" t="str">
        <f t="shared" si="1"/>
        <v>0</v>
      </c>
      <c r="R24" t="s">
        <v>162</v>
      </c>
    </row>
    <row r="25" spans="1:20">
      <c r="A25" t="s">
        <v>80</v>
      </c>
      <c r="B25">
        <f>IF(G5=0,I19+I2,ROUNDUP((I19+I2)/2,0))</f>
        <v>8</v>
      </c>
      <c r="C25" s="11" t="str">
        <f t="shared" si="0"/>
        <v>8</v>
      </c>
      <c r="H25" t="s">
        <v>81</v>
      </c>
      <c r="I25">
        <f>G10+10</f>
        <v>270</v>
      </c>
      <c r="J25" t="s">
        <v>246</v>
      </c>
      <c r="K25" t="s">
        <v>163</v>
      </c>
      <c r="L25">
        <f>IF(I3=9,0,IF(I3=10,1,IF(I3=11,2,IF(I3=12,3,IF(I3=14,4,IF(I3=16,5,IF(I3=18,6,IF(I3=20,7,))))))))</f>
        <v>6</v>
      </c>
      <c r="M25" s="12" t="str">
        <f t="shared" si="1"/>
        <v>6</v>
      </c>
      <c r="R25" t="s">
        <v>164</v>
      </c>
    </row>
    <row r="26" spans="1:20">
      <c r="A26" t="s">
        <v>82</v>
      </c>
      <c r="B26">
        <f>IF(G5=0,I21+I2,ROUNDUP((I21+I2)/2,0))</f>
        <v>5</v>
      </c>
      <c r="C26" s="11" t="str">
        <f t="shared" si="0"/>
        <v>5</v>
      </c>
      <c r="H26" t="s">
        <v>83</v>
      </c>
      <c r="I26">
        <f>(IF(O1&lt;=1600,(597),(IF(O1&lt;=1866,(597),(IF(O1&lt;=2133,(768),(IF(O1&lt;=2400,(768),(IF(O1&lt;=2666,(854),(IF(O1&lt;=2933,(940),(IF(O1&lt;=3200,(1024),("N/A")))))))))))))))</f>
        <v>1024</v>
      </c>
      <c r="R26" t="s">
        <v>165</v>
      </c>
    </row>
    <row r="27" spans="1:20">
      <c r="A27" t="s">
        <v>84</v>
      </c>
      <c r="B27">
        <f>IF(G5=0,I20,ROUNDUP(I20/2,0))</f>
        <v>4</v>
      </c>
      <c r="C27" s="11" t="str">
        <f t="shared" si="0"/>
        <v>4</v>
      </c>
      <c r="H27" s="10" t="s">
        <v>85</v>
      </c>
      <c r="I27">
        <v>4</v>
      </c>
      <c r="J27" t="s">
        <v>247</v>
      </c>
      <c r="K27" t="s">
        <v>166</v>
      </c>
      <c r="L27" s="1">
        <v>0</v>
      </c>
      <c r="M27" s="12" t="str">
        <f t="shared" si="1"/>
        <v>0</v>
      </c>
      <c r="R27" t="s">
        <v>167</v>
      </c>
    </row>
    <row r="28" spans="1:20">
      <c r="E28" t="s">
        <v>86</v>
      </c>
      <c r="H28" t="s">
        <v>87</v>
      </c>
      <c r="I28" s="3">
        <f>IF(ROUNDUP(IF(G6=2,(IF(O1&lt;=1600,(6),(IF(O1&lt;=3200,(5.3),("N/A"))))),(IF(O1&lt;=1600,(5),(IF(O1&lt;=1866,(4.2),(IF(O1&lt;=2133,(3.7),(IF(O1&lt;=2400,(3.3),(IF(O1&lt;=2666,(3),(IF(O1&lt;=2933,(2.7),(IF(O1&lt;=3200,(2.5),("N/A"))))))))))))))))/O2,0)-4&gt;0,ROUNDUP(IF(G6=2,(IF(O1&lt;=1600,(6),(IF(O1&lt;=3200,(5.3),("N/A"))))),(IF(O1&lt;=1600,(5),(IF(O1&lt;=1866,(4.2),(IF(O1&lt;=2133,(3.7),(IF(O1&lt;=2400,(3.3),(IF(O1&lt;=2666,(3),(IF(O1&lt;=2933,(2.7),(IF(O1&lt;=3200,(2.5),("N/A"))))))))))))))))/O2,0),4)</f>
        <v>9</v>
      </c>
      <c r="J28" s="3" t="s">
        <v>248</v>
      </c>
      <c r="K28" t="s">
        <v>168</v>
      </c>
      <c r="L28">
        <f>(IF(O1&lt;=1600,(0),(IF(O1&lt;=2666,(1),(IF(O1&lt;=3200,(2),("N/A")))))))</f>
        <v>2</v>
      </c>
      <c r="M28" s="12" t="str">
        <f t="shared" si="1"/>
        <v>2</v>
      </c>
    </row>
    <row r="29" spans="1:20">
      <c r="A29" s="8" t="s">
        <v>88</v>
      </c>
      <c r="B29" s="8">
        <v>2</v>
      </c>
      <c r="C29" s="13" t="str">
        <f t="shared" si="0"/>
        <v>2</v>
      </c>
      <c r="H29" t="s">
        <v>89</v>
      </c>
      <c r="I29">
        <f>ROUNDUP(IF(((2.5/O2)-2)&gt;0,(2.5/O2),2),0)+IF(G1=0,1,0)</f>
        <v>5</v>
      </c>
      <c r="J29" t="s">
        <v>249</v>
      </c>
      <c r="K29" t="s">
        <v>169</v>
      </c>
      <c r="L29" s="1">
        <v>0</v>
      </c>
      <c r="M29" s="12" t="str">
        <f t="shared" si="1"/>
        <v>0</v>
      </c>
    </row>
    <row r="30" spans="1:20">
      <c r="A30" s="8" t="s">
        <v>90</v>
      </c>
      <c r="B30" s="8">
        <v>2</v>
      </c>
      <c r="C30" s="13" t="str">
        <f t="shared" si="0"/>
        <v>2</v>
      </c>
      <c r="H30" t="s">
        <v>91</v>
      </c>
      <c r="I30">
        <f>(IF(O1&lt;=2400,("N/A"),(IF(O1&lt;=3200,(2),("N/A")))))</f>
        <v>2</v>
      </c>
      <c r="J30" t="s">
        <v>250</v>
      </c>
      <c r="K30" t="s">
        <v>170</v>
      </c>
      <c r="L30" s="1">
        <v>0</v>
      </c>
      <c r="M30" s="12" t="str">
        <f t="shared" si="1"/>
        <v>0</v>
      </c>
      <c r="R30" s="17" t="s">
        <v>171</v>
      </c>
      <c r="S30" s="17" t="str">
        <f>DEC2HEX(L11+L10*POWER(2,3)+(INT(MOD(L9,16)/2))*POWER(2,4)+(MOD(L9,2))*POWER(2,2)+(INT(L9/16))*POWER(2,12)+L8*POWER(2,7)+L7*POWER(2,8)+L6*POWER(2,9)+L5*POWER(2,13),4)</f>
        <v>0C54</v>
      </c>
    </row>
    <row r="31" spans="1:20">
      <c r="A31" s="8" t="s">
        <v>92</v>
      </c>
      <c r="B31" s="8">
        <v>5</v>
      </c>
      <c r="C31" s="13" t="str">
        <f t="shared" si="0"/>
        <v>5</v>
      </c>
      <c r="H31" t="s">
        <v>93</v>
      </c>
      <c r="I31">
        <f>(IF(O1&lt;=2400,("N/A"),(IF(O1&lt;=3200,(2),("N/A")))))</f>
        <v>2</v>
      </c>
      <c r="J31" s="19" t="s">
        <v>251</v>
      </c>
      <c r="K31" t="s">
        <v>172</v>
      </c>
      <c r="L31" s="1">
        <v>0</v>
      </c>
      <c r="M31" s="12" t="str">
        <f t="shared" si="1"/>
        <v>0</v>
      </c>
      <c r="R31" s="17" t="s">
        <v>173</v>
      </c>
      <c r="S31" s="17" t="str">
        <f>DEC2HEX(L20+L19*POWER(2,1)+L18*POWER(2,3)+L15*POWER(2,8)+L14*POWER(2,11)+L13*POWER(2,12),4)</f>
        <v>0103</v>
      </c>
    </row>
    <row r="32" spans="1:20">
      <c r="H32" t="s">
        <v>94</v>
      </c>
      <c r="I32">
        <f>I25+I24</f>
        <v>1294</v>
      </c>
      <c r="J32" t="s">
        <v>252</v>
      </c>
      <c r="K32" t="s">
        <v>174</v>
      </c>
      <c r="L32" s="1">
        <v>0</v>
      </c>
      <c r="M32" s="12" t="str">
        <f t="shared" si="1"/>
        <v>0</v>
      </c>
      <c r="R32" s="17" t="s">
        <v>175</v>
      </c>
      <c r="S32" s="17" t="str">
        <f>DEC2HEX(L25*POWER(2,3)+L24*POWER(2,6)+L23*POWER(2,9)+L22*POWER(2,12),4)</f>
        <v>0830</v>
      </c>
    </row>
    <row r="33" spans="1:19">
      <c r="A33" s="8" t="s">
        <v>95</v>
      </c>
      <c r="B33" s="8">
        <f>B25</f>
        <v>8</v>
      </c>
      <c r="C33" s="13" t="str">
        <f t="shared" si="0"/>
        <v>8</v>
      </c>
      <c r="H33" t="s">
        <v>176</v>
      </c>
      <c r="I33">
        <f>I25*O2-10</f>
        <v>158.75</v>
      </c>
      <c r="J33" t="s">
        <v>254</v>
      </c>
      <c r="K33" t="s">
        <v>177</v>
      </c>
      <c r="L33" s="1">
        <v>0</v>
      </c>
      <c r="M33" s="12" t="str">
        <f t="shared" si="1"/>
        <v>0</v>
      </c>
      <c r="R33" s="17" t="s">
        <v>178</v>
      </c>
      <c r="S33" s="17" t="str">
        <f>DEC2HEX(L34+L33*POWER(2,2)+L32*POWER(2,3)+L31*POWER(2,4)+L30*POWER(2,5)+L29*POWER(2,6)+L28*POWER(2,9)+L27*POWER(2,11),4)</f>
        <v>0400</v>
      </c>
    </row>
    <row r="34" spans="1:19">
      <c r="A34" s="8" t="s">
        <v>97</v>
      </c>
      <c r="B34" s="8">
        <f>B24</f>
        <v>8</v>
      </c>
      <c r="C34" s="13" t="str">
        <f t="shared" si="0"/>
        <v>8</v>
      </c>
      <c r="H34" t="s">
        <v>98</v>
      </c>
      <c r="I34">
        <f>(IF(O1&lt;=1600,(115),(IF(O1&lt;=1866,(100),(IF(O1&lt;=2133,(80),(IF(O1&lt;=2400,(62),(IF(O1&lt;=2666,(55),(IF(O1&lt;=2933,(48),(IF(O1&lt;=3200,(40),("N/A")))))))))))))))</f>
        <v>40</v>
      </c>
      <c r="J34" t="s">
        <v>253</v>
      </c>
      <c r="K34" t="s">
        <v>179</v>
      </c>
      <c r="L34" s="1">
        <v>0</v>
      </c>
      <c r="M34" s="12" t="str">
        <f t="shared" si="1"/>
        <v>0</v>
      </c>
      <c r="R34" s="17" t="s">
        <v>180</v>
      </c>
      <c r="S34" s="17" t="str">
        <f>DEC2HEX(L46*POWER(2,1)+L45*POWER(2,2)+L44*POWER(2,3)+L43*POWER(2,4)+L42*POWER(2,5)+L41*POWER(2,6)+L40*POWER(2,9)+L39*POWER(2,10)+L38*POWER(2,11)+L37*POWER(2,12)+L36*POWER(2,13),4)</f>
        <v>1800</v>
      </c>
    </row>
    <row r="35" spans="1:19">
      <c r="H35" t="s">
        <v>99</v>
      </c>
      <c r="I35">
        <f>(IF(O1&lt;=1600,(140),(IF(O1&lt;=1866,(125),(IF(O1&lt;=2133,(105),(IF(O1&lt;=2400,(87),(IF(O1&lt;=2666,(80),(IF(O1&lt;=2933,(73),(IF(O1&lt;=3200,(65),("N/A")))))))))))))))</f>
        <v>65</v>
      </c>
      <c r="R35" s="17" t="s">
        <v>181</v>
      </c>
      <c r="S35" s="17" t="str">
        <f>DEC2HEX(L56+L55*POWER(2,3)+L54*POWER(2,4)+L53*POWER(2,5)+L52*POWER(2,6)+L51*POWER(2,9)+L50*POWER(2,10)+L49*POWER(2,11)+L48*POWER(2,12),4)</f>
        <v>0480</v>
      </c>
    </row>
    <row r="36" spans="1:19">
      <c r="A36" t="s">
        <v>100</v>
      </c>
      <c r="B36">
        <f>IF(B39-IF(G5=0,ROUNDUP(I22/O2/32,0),ROUNDUP(I22/O2/32/2,0))&gt;0,IF(G5=0,ROUNDUP(I22/O2/32,0),ROUNDUP(I22/O2/32/2,0)),B39)</f>
        <v>3</v>
      </c>
      <c r="C36" s="11" t="str">
        <f t="shared" si="0"/>
        <v>3</v>
      </c>
      <c r="H36" t="s">
        <v>101</v>
      </c>
      <c r="I36">
        <f>(I34+I35)/1000</f>
        <v>0.105</v>
      </c>
      <c r="J36" t="s">
        <v>255</v>
      </c>
      <c r="K36" t="s">
        <v>182</v>
      </c>
      <c r="L36" s="1">
        <v>0</v>
      </c>
      <c r="M36" s="12" t="str">
        <f t="shared" si="1"/>
        <v>0</v>
      </c>
      <c r="R36" s="17" t="s">
        <v>183</v>
      </c>
      <c r="S36" s="17" t="str">
        <f>DEC2HEX(L61+L60*POWER(2,6)+L59*POWER(2,7)+L58*POWER(2,10),4)</f>
        <v>101B</v>
      </c>
    </row>
    <row r="37" spans="1:19">
      <c r="A37" t="s">
        <v>102</v>
      </c>
      <c r="B37">
        <f>IF(G5=0,I23/O2/32,ROUNDUP(I23/O2/32/2,0))</f>
        <v>3</v>
      </c>
      <c r="C37" s="11" t="str">
        <f t="shared" si="0"/>
        <v>3</v>
      </c>
      <c r="H37" t="s">
        <v>103</v>
      </c>
      <c r="I37">
        <v>4</v>
      </c>
      <c r="J37" t="s">
        <v>256</v>
      </c>
      <c r="K37" t="s">
        <v>184</v>
      </c>
      <c r="L37">
        <f>IF(G1=0,1,0)</f>
        <v>1</v>
      </c>
      <c r="M37" s="12" t="str">
        <f t="shared" si="1"/>
        <v>1</v>
      </c>
    </row>
    <row r="38" spans="1:19">
      <c r="A38" t="s">
        <v>104</v>
      </c>
      <c r="B38">
        <f>IF(G5=0,I24/32,ROUNDUP(I24/32/2,0))</f>
        <v>16</v>
      </c>
      <c r="C38" s="11" t="str">
        <f t="shared" si="0"/>
        <v>10</v>
      </c>
      <c r="H38" t="s">
        <v>105</v>
      </c>
      <c r="I38">
        <f>I14+I37</f>
        <v>28</v>
      </c>
      <c r="J38" t="s">
        <v>257</v>
      </c>
      <c r="K38" t="s">
        <v>185</v>
      </c>
      <c r="L38">
        <f>IF(G11=0,1,0)</f>
        <v>1</v>
      </c>
      <c r="M38" s="12" t="str">
        <f t="shared" si="1"/>
        <v>1</v>
      </c>
    </row>
    <row r="39" spans="1:19">
      <c r="A39" t="s">
        <v>106</v>
      </c>
      <c r="B39">
        <f>IF(G5=0,I25/32,ROUNDUP(I25/32/2,0))</f>
        <v>5</v>
      </c>
      <c r="C39" s="11" t="str">
        <f t="shared" si="0"/>
        <v>5</v>
      </c>
      <c r="H39" t="s">
        <v>107</v>
      </c>
      <c r="I39">
        <f>I14+I1+I2</f>
        <v>24</v>
      </c>
      <c r="J39" t="s">
        <v>258</v>
      </c>
      <c r="K39" t="s">
        <v>186</v>
      </c>
      <c r="L39">
        <v>0</v>
      </c>
      <c r="M39" s="12" t="str">
        <f t="shared" si="1"/>
        <v>0</v>
      </c>
    </row>
    <row r="40" spans="1:19">
      <c r="H40" t="s">
        <v>108</v>
      </c>
      <c r="I40">
        <f>ROUNDUP(IF(((10/O2)-16)&gt;0,(10/O2),16),0)</f>
        <v>16</v>
      </c>
      <c r="J40" t="s">
        <v>259</v>
      </c>
      <c r="K40" t="s">
        <v>187</v>
      </c>
      <c r="L40" s="1">
        <v>0</v>
      </c>
      <c r="M40" s="12" t="str">
        <f t="shared" si="1"/>
        <v>0</v>
      </c>
    </row>
    <row r="41" spans="1:19">
      <c r="A41" t="s">
        <v>109</v>
      </c>
      <c r="B41">
        <f>IF(G1=0,1,0)</f>
        <v>1</v>
      </c>
      <c r="C41" s="11" t="str">
        <f t="shared" si="0"/>
        <v>1</v>
      </c>
      <c r="H41" t="s">
        <v>188</v>
      </c>
      <c r="I41">
        <v>12</v>
      </c>
      <c r="J41" t="s">
        <v>260</v>
      </c>
      <c r="K41" t="s">
        <v>189</v>
      </c>
      <c r="L41" s="1">
        <v>0</v>
      </c>
      <c r="M41" s="12" t="str">
        <f t="shared" si="1"/>
        <v>0</v>
      </c>
    </row>
    <row r="42" spans="1:19">
      <c r="A42" t="s">
        <v>110</v>
      </c>
      <c r="B42">
        <f>IF(G5=0,I27,ROUNDUP(I27/2,0))</f>
        <v>2</v>
      </c>
      <c r="C42" s="11" t="str">
        <f t="shared" si="0"/>
        <v>2</v>
      </c>
      <c r="J42" t="s">
        <v>261</v>
      </c>
      <c r="K42" t="s">
        <v>190</v>
      </c>
      <c r="L42" s="1">
        <v>0</v>
      </c>
      <c r="M42" s="12" t="str">
        <f t="shared" si="1"/>
        <v>0</v>
      </c>
    </row>
    <row r="43" spans="1:19">
      <c r="A43" t="s">
        <v>111</v>
      </c>
      <c r="B43">
        <f>IF(G5=0,I28,ROUNDUP(I28/2,0))</f>
        <v>5</v>
      </c>
      <c r="C43" s="11" t="str">
        <f t="shared" si="0"/>
        <v>5</v>
      </c>
      <c r="J43" t="s">
        <v>262</v>
      </c>
      <c r="K43" t="s">
        <v>191</v>
      </c>
      <c r="L43" s="1">
        <v>0</v>
      </c>
      <c r="M43" s="12" t="str">
        <f t="shared" si="1"/>
        <v>0</v>
      </c>
    </row>
    <row r="44" spans="1:19">
      <c r="A44" t="s">
        <v>112</v>
      </c>
      <c r="B44">
        <f>IF(G5=0,(I3+I2+E2/2+I29),ROUNDUP((I3+I2+E2/2+I29)/2,0))</f>
        <v>14</v>
      </c>
      <c r="C44" s="11" t="str">
        <f t="shared" si="0"/>
        <v>E</v>
      </c>
      <c r="J44" t="s">
        <v>263</v>
      </c>
      <c r="K44" t="s">
        <v>192</v>
      </c>
      <c r="L44" s="1">
        <v>0</v>
      </c>
      <c r="M44" s="12" t="str">
        <f t="shared" si="1"/>
        <v>0</v>
      </c>
    </row>
    <row r="45" spans="1:19">
      <c r="J45" t="s">
        <v>264</v>
      </c>
      <c r="K45" t="s">
        <v>193</v>
      </c>
      <c r="L45" s="1">
        <v>0</v>
      </c>
      <c r="M45" s="12" t="str">
        <f t="shared" si="1"/>
        <v>0</v>
      </c>
    </row>
    <row r="46" spans="1:19">
      <c r="A46" t="s">
        <v>113</v>
      </c>
      <c r="B46">
        <f>IF(G5=0,(I14+4),ROUNDUP((I14+4)/2,0))</f>
        <v>14</v>
      </c>
      <c r="C46" s="11" t="str">
        <f t="shared" si="0"/>
        <v>E</v>
      </c>
      <c r="J46" t="s">
        <v>265</v>
      </c>
      <c r="K46" t="s">
        <v>194</v>
      </c>
      <c r="L46" s="1">
        <v>0</v>
      </c>
      <c r="M46" s="12" t="str">
        <f t="shared" si="1"/>
        <v>0</v>
      </c>
    </row>
    <row r="47" spans="1:19">
      <c r="A47" t="s">
        <v>114</v>
      </c>
      <c r="B47">
        <f>IF(G5=0,(I14),ROUNDUP((I14)/2,0))</f>
        <v>12</v>
      </c>
      <c r="C47" s="11" t="str">
        <f t="shared" si="0"/>
        <v>C</v>
      </c>
    </row>
    <row r="48" spans="1:19">
      <c r="A48" t="s">
        <v>115</v>
      </c>
      <c r="B48">
        <f>IF(G5=0,(I30),ROUNDUP((I30)/2,0))</f>
        <v>1</v>
      </c>
      <c r="C48" s="11" t="str">
        <f t="shared" si="0"/>
        <v>1</v>
      </c>
      <c r="J48" t="s">
        <v>266</v>
      </c>
      <c r="K48" t="s">
        <v>195</v>
      </c>
      <c r="L48">
        <f>G3</f>
        <v>0</v>
      </c>
      <c r="M48" s="12" t="str">
        <f t="shared" si="1"/>
        <v>0</v>
      </c>
    </row>
    <row r="49" spans="1:13">
      <c r="A49" t="s">
        <v>116</v>
      </c>
      <c r="B49">
        <f>IF(G5=0,(I31),ROUNDUP((I31)/2,0))</f>
        <v>1</v>
      </c>
      <c r="C49" s="11" t="str">
        <f t="shared" si="0"/>
        <v>1</v>
      </c>
      <c r="J49" t="s">
        <v>267</v>
      </c>
      <c r="K49" t="s">
        <v>196</v>
      </c>
      <c r="L49">
        <f>G12</f>
        <v>0</v>
      </c>
      <c r="M49" s="12" t="str">
        <f t="shared" si="1"/>
        <v>0</v>
      </c>
    </row>
    <row r="50" spans="1:13">
      <c r="J50" t="s">
        <v>268</v>
      </c>
      <c r="K50" t="s">
        <v>197</v>
      </c>
      <c r="L50" s="1">
        <v>1</v>
      </c>
      <c r="M50" s="12" t="str">
        <f t="shared" si="1"/>
        <v>1</v>
      </c>
    </row>
    <row r="51" spans="1:13">
      <c r="A51" t="s">
        <v>117</v>
      </c>
      <c r="B51">
        <f>IF(G5=0,ROUNDUP(I32/32,0),ROUNDUP(ROUNDUP(I32/2,0)/32,0))</f>
        <v>21</v>
      </c>
      <c r="C51" s="11" t="str">
        <f t="shared" si="0"/>
        <v>15</v>
      </c>
      <c r="J51" t="s">
        <v>269</v>
      </c>
      <c r="K51" t="s">
        <v>198</v>
      </c>
      <c r="L51" s="1">
        <v>0</v>
      </c>
      <c r="M51" s="12" t="str">
        <f t="shared" si="1"/>
        <v>0</v>
      </c>
    </row>
    <row r="52" spans="1:13">
      <c r="A52" t="s">
        <v>118</v>
      </c>
      <c r="B52" s="18">
        <f>IF(G5=0,ROUNDUP(I41/O2,0),ROUNDUP(ROUNDUP(I41/O2,0)/2,0)+1)</f>
        <v>11</v>
      </c>
      <c r="C52" s="11" t="str">
        <f t="shared" si="0"/>
        <v>B</v>
      </c>
      <c r="J52" t="s">
        <v>270</v>
      </c>
      <c r="K52" t="s">
        <v>199</v>
      </c>
      <c r="L52" s="1">
        <v>2</v>
      </c>
      <c r="M52" s="12" t="str">
        <f t="shared" si="1"/>
        <v>2</v>
      </c>
    </row>
    <row r="53" spans="1:13">
      <c r="A53" t="s">
        <v>119</v>
      </c>
      <c r="B53">
        <f>IF(G5=0,ROUNDUP(I36/O2,0),ROUNDUP(ROUNDUP(I36/O2,0)/2,0))</f>
        <v>1</v>
      </c>
      <c r="C53" s="11" t="str">
        <f t="shared" si="0"/>
        <v>1</v>
      </c>
      <c r="J53" t="s">
        <v>271</v>
      </c>
      <c r="K53" t="s">
        <v>200</v>
      </c>
      <c r="L53" s="1">
        <v>0</v>
      </c>
      <c r="M53" s="12" t="str">
        <f t="shared" si="1"/>
        <v>0</v>
      </c>
    </row>
    <row r="54" spans="1:13">
      <c r="A54" t="s">
        <v>120</v>
      </c>
      <c r="B54">
        <f>IF(G5=0,I38,ROUNDUP(I38/2,0))</f>
        <v>14</v>
      </c>
      <c r="C54" s="11" t="str">
        <f t="shared" si="0"/>
        <v>E</v>
      </c>
      <c r="J54" t="s">
        <v>272</v>
      </c>
      <c r="K54" t="s">
        <v>201</v>
      </c>
      <c r="L54">
        <v>0</v>
      </c>
      <c r="M54" s="12" t="str">
        <f t="shared" si="1"/>
        <v>0</v>
      </c>
    </row>
    <row r="55" spans="1:13">
      <c r="J55" t="s">
        <v>273</v>
      </c>
      <c r="K55" t="s">
        <v>202</v>
      </c>
      <c r="L55">
        <v>0</v>
      </c>
      <c r="M55" s="12" t="str">
        <f t="shared" si="1"/>
        <v>0</v>
      </c>
    </row>
    <row r="56" spans="1:13">
      <c r="A56" t="s">
        <v>121</v>
      </c>
      <c r="B56">
        <f>IF(G5=0,(I14+I1+I2),ROUNDUP((I14+I1+I2)/2,0))</f>
        <v>12</v>
      </c>
      <c r="C56" s="11" t="str">
        <f t="shared" si="0"/>
        <v>C</v>
      </c>
      <c r="J56" t="s">
        <v>274</v>
      </c>
      <c r="K56" t="s">
        <v>4</v>
      </c>
      <c r="L56">
        <f>IF(G2=0,0,IF(O1&lt;=2133,1,IF(O1&lt;=2666,2,IF(O1&lt;=3200,3,"N/A"))))</f>
        <v>0</v>
      </c>
      <c r="M56" s="12" t="str">
        <f t="shared" si="1"/>
        <v>0</v>
      </c>
    </row>
    <row r="57" spans="1:13">
      <c r="A57" s="8" t="s">
        <v>122</v>
      </c>
      <c r="B57" s="8">
        <v>2</v>
      </c>
      <c r="C57" s="13" t="str">
        <f t="shared" si="0"/>
        <v>2</v>
      </c>
    </row>
    <row r="58" spans="1:13">
      <c r="A58" t="s">
        <v>123</v>
      </c>
      <c r="B58">
        <f>IF(G5=0,I40,ROUNDUP(I40/2,0))</f>
        <v>8</v>
      </c>
      <c r="C58" s="11" t="str">
        <f t="shared" si="0"/>
        <v>8</v>
      </c>
      <c r="J58" t="s">
        <v>63</v>
      </c>
      <c r="K58" t="s">
        <v>203</v>
      </c>
      <c r="L58">
        <f>IF(I16=4,0,IF(I16=5,1,IF(I16=6,2,IF(I16=7,3,IF(I16=8,4,"N/A")))))</f>
        <v>4</v>
      </c>
      <c r="M58" s="12" t="str">
        <f t="shared" si="1"/>
        <v>4</v>
      </c>
    </row>
    <row r="59" spans="1:13">
      <c r="J59" t="s">
        <v>275</v>
      </c>
      <c r="K59" t="s">
        <v>204</v>
      </c>
      <c r="L59" s="1">
        <v>0</v>
      </c>
      <c r="M59" s="12" t="str">
        <f t="shared" si="1"/>
        <v>0</v>
      </c>
    </row>
    <row r="60" spans="1:13">
      <c r="A60" s="8" t="s">
        <v>124</v>
      </c>
      <c r="B60" s="8">
        <v>28</v>
      </c>
      <c r="C60" s="13" t="str">
        <f t="shared" si="0"/>
        <v>1C</v>
      </c>
      <c r="J60" t="s">
        <v>276</v>
      </c>
      <c r="K60" t="s">
        <v>205</v>
      </c>
      <c r="L60" s="1">
        <v>0</v>
      </c>
      <c r="M60" s="12" t="str">
        <f t="shared" si="1"/>
        <v>0</v>
      </c>
    </row>
    <row r="61" spans="1:13">
      <c r="A61" s="8" t="s">
        <v>125</v>
      </c>
      <c r="B61" s="8">
        <v>32</v>
      </c>
      <c r="C61" s="13" t="str">
        <f t="shared" si="0"/>
        <v>20</v>
      </c>
      <c r="J61" t="s">
        <v>277</v>
      </c>
      <c r="K61" t="s">
        <v>206</v>
      </c>
      <c r="L61" s="1">
        <v>27</v>
      </c>
      <c r="M61" s="12" t="str">
        <f t="shared" si="1"/>
        <v>1B</v>
      </c>
    </row>
    <row r="62" spans="1:13">
      <c r="A62" s="8" t="s">
        <v>126</v>
      </c>
      <c r="B62" s="8">
        <v>4</v>
      </c>
      <c r="C62" s="13" t="str">
        <f t="shared" si="0"/>
        <v>4</v>
      </c>
    </row>
    <row r="63" spans="1:13">
      <c r="A63" s="8"/>
      <c r="B63" s="8"/>
      <c r="C63" s="13"/>
    </row>
    <row r="64" spans="1:13">
      <c r="A64" s="8" t="s">
        <v>127</v>
      </c>
      <c r="B64" s="8">
        <v>160</v>
      </c>
      <c r="C64" s="13" t="str">
        <f t="shared" si="0"/>
        <v>A0</v>
      </c>
    </row>
    <row r="66" spans="1:3">
      <c r="A66" t="s">
        <v>128</v>
      </c>
      <c r="C66" s="11" t="str">
        <f t="shared" ref="C66:C76" si="3">DEC2HEX(B66)</f>
        <v>0</v>
      </c>
    </row>
    <row r="67" spans="1:3">
      <c r="A67" t="s">
        <v>129</v>
      </c>
      <c r="C67" s="11" t="str">
        <f t="shared" si="3"/>
        <v>0</v>
      </c>
    </row>
    <row r="68" spans="1:3">
      <c r="A68" t="s">
        <v>130</v>
      </c>
      <c r="C68" s="11" t="str">
        <f t="shared" si="3"/>
        <v>0</v>
      </c>
    </row>
    <row r="70" spans="1:3">
      <c r="A70" t="s">
        <v>131</v>
      </c>
      <c r="C70" s="11" t="str">
        <f t="shared" si="3"/>
        <v>0</v>
      </c>
    </row>
    <row r="71" spans="1:3">
      <c r="A71" t="s">
        <v>132</v>
      </c>
      <c r="C71" s="11" t="str">
        <f t="shared" si="3"/>
        <v>0</v>
      </c>
    </row>
    <row r="72" spans="1:3">
      <c r="A72" t="s">
        <v>133</v>
      </c>
      <c r="C72" s="11" t="str">
        <f t="shared" si="3"/>
        <v>0</v>
      </c>
    </row>
    <row r="73" spans="1:3">
      <c r="A73" t="s">
        <v>134</v>
      </c>
      <c r="C73" s="11" t="str">
        <f t="shared" si="3"/>
        <v>0</v>
      </c>
    </row>
    <row r="75" spans="1:3">
      <c r="A75" s="8" t="s">
        <v>135</v>
      </c>
      <c r="B75" s="8">
        <v>0</v>
      </c>
      <c r="C75" s="13" t="str">
        <f t="shared" si="3"/>
        <v>0</v>
      </c>
    </row>
    <row r="76" spans="1:3">
      <c r="A76" s="8" t="s">
        <v>136</v>
      </c>
      <c r="B76" s="8">
        <v>0</v>
      </c>
      <c r="C76" s="13" t="str">
        <f t="shared" si="3"/>
        <v>0</v>
      </c>
    </row>
    <row r="78" spans="1:3">
      <c r="A78" s="7" t="s">
        <v>207</v>
      </c>
      <c r="B78">
        <v>7</v>
      </c>
    </row>
    <row r="79" spans="1:3" ht="25.5">
      <c r="A79" s="7" t="s">
        <v>208</v>
      </c>
      <c r="B79">
        <v>0</v>
      </c>
    </row>
    <row r="80" spans="1:3">
      <c r="A80" s="7" t="s">
        <v>209</v>
      </c>
    </row>
    <row r="81" spans="1:1" ht="25.5">
      <c r="A81" s="7" t="s">
        <v>210</v>
      </c>
    </row>
    <row r="82" spans="1:1">
      <c r="A82" s="7" t="s">
        <v>211</v>
      </c>
    </row>
    <row r="83" spans="1:1">
      <c r="A83" s="7" t="s">
        <v>212</v>
      </c>
    </row>
    <row r="85" spans="1:1">
      <c r="A85" s="7" t="s">
        <v>213</v>
      </c>
    </row>
    <row r="86" spans="1:1">
      <c r="A86" s="7" t="s">
        <v>214</v>
      </c>
    </row>
    <row r="87" spans="1:1" ht="25.5">
      <c r="A87" s="7" t="s">
        <v>215</v>
      </c>
    </row>
    <row r="88" spans="1:1" ht="25.5">
      <c r="A88" s="7" t="s">
        <v>216</v>
      </c>
    </row>
    <row r="89" spans="1:1" ht="25.5">
      <c r="A89" s="7" t="s">
        <v>217</v>
      </c>
    </row>
    <row r="91" spans="1:1">
      <c r="A91" s="7" t="s">
        <v>218</v>
      </c>
    </row>
    <row r="92" spans="1:1">
      <c r="A92" s="7" t="s">
        <v>219</v>
      </c>
    </row>
    <row r="94" spans="1:1" ht="25.5">
      <c r="A94" s="7" t="s">
        <v>220</v>
      </c>
    </row>
    <row r="96" spans="1:1">
      <c r="A96" s="7" t="s">
        <v>221</v>
      </c>
    </row>
    <row r="97" spans="1:1" ht="25.5">
      <c r="A97" s="7" t="s">
        <v>222</v>
      </c>
    </row>
    <row r="98" spans="1:1">
      <c r="A98" s="7" t="s">
        <v>223</v>
      </c>
    </row>
    <row r="99" spans="1:1">
      <c r="A99" s="7" t="s">
        <v>224</v>
      </c>
    </row>
    <row r="100" spans="1:1">
      <c r="A100" s="7" t="s">
        <v>225</v>
      </c>
    </row>
    <row r="101" spans="1:1" ht="25.5">
      <c r="A101" s="7" t="s">
        <v>226</v>
      </c>
    </row>
    <row r="102" spans="1:1" ht="25.5">
      <c r="A102" s="7" t="s">
        <v>227</v>
      </c>
    </row>
    <row r="103" spans="1:1">
      <c r="A103" s="7" t="s">
        <v>228</v>
      </c>
    </row>
    <row r="104" spans="1:1" ht="25.5">
      <c r="A104" s="7" t="s">
        <v>229</v>
      </c>
    </row>
  </sheetData>
  <pageMargins left="0.7" right="0.7" top="0.75" bottom="0.75" header="0.3" footer="0.3"/>
  <pageSetup paperSize="9" orientation="portrait" horizontalDpi="4294967294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workbookViewId="0">
      <pane ySplit="7" topLeftCell="A8" activePane="bottomLeft" state="frozen"/>
      <selection pane="bottomLeft" activeCell="G4" sqref="G4"/>
    </sheetView>
  </sheetViews>
  <sheetFormatPr defaultRowHeight="15"/>
  <cols>
    <col min="1" max="1" width="45.140625" bestFit="1" customWidth="1"/>
    <col min="2" max="2" width="12.42578125" bestFit="1" customWidth="1"/>
    <col min="3" max="3" width="9.140625" style="20"/>
  </cols>
  <sheetData>
    <row r="1" spans="1:10">
      <c r="F1" s="17" t="s">
        <v>171</v>
      </c>
      <c r="G1" s="17">
        <v>2050</v>
      </c>
      <c r="H1" s="21" t="s">
        <v>278</v>
      </c>
      <c r="J1" s="22" t="str">
        <f>version3!S30</f>
        <v>0C54</v>
      </c>
    </row>
    <row r="2" spans="1:10">
      <c r="F2" s="17" t="s">
        <v>173</v>
      </c>
      <c r="G2" s="17">
        <v>103</v>
      </c>
      <c r="H2" s="21">
        <v>201</v>
      </c>
      <c r="J2" s="22" t="str">
        <f>version3!S31</f>
        <v>0103</v>
      </c>
    </row>
    <row r="3" spans="1:10">
      <c r="F3" s="17" t="s">
        <v>175</v>
      </c>
      <c r="G3" s="17">
        <v>828</v>
      </c>
      <c r="H3" s="21">
        <v>28</v>
      </c>
      <c r="J3" s="22" t="str">
        <f>version3!S32</f>
        <v>0830</v>
      </c>
    </row>
    <row r="4" spans="1:10">
      <c r="F4" s="17" t="s">
        <v>178</v>
      </c>
      <c r="G4" s="17">
        <v>400</v>
      </c>
      <c r="H4" s="21">
        <v>400</v>
      </c>
      <c r="J4" s="22" t="str">
        <f>version3!S33</f>
        <v>0400</v>
      </c>
    </row>
    <row r="5" spans="1:10">
      <c r="F5" s="17" t="s">
        <v>180</v>
      </c>
      <c r="G5" s="17">
        <v>1810</v>
      </c>
      <c r="H5" s="21">
        <v>0</v>
      </c>
      <c r="J5" s="22" t="str">
        <f>version3!S34</f>
        <v>1800</v>
      </c>
    </row>
    <row r="6" spans="1:10">
      <c r="F6" s="17" t="s">
        <v>181</v>
      </c>
      <c r="G6" s="17">
        <v>480</v>
      </c>
      <c r="H6" s="21">
        <v>480</v>
      </c>
      <c r="J6" s="22" t="str">
        <f>version3!S35</f>
        <v>0480</v>
      </c>
    </row>
    <row r="7" spans="1:10">
      <c r="F7" s="17" t="s">
        <v>183</v>
      </c>
      <c r="G7" s="17">
        <v>1018</v>
      </c>
      <c r="H7" s="21">
        <v>1018</v>
      </c>
      <c r="J7" s="22" t="str">
        <f>version3!S36</f>
        <v>101B</v>
      </c>
    </row>
    <row r="8" spans="1:10">
      <c r="A8" t="s">
        <v>230</v>
      </c>
      <c r="B8" t="s">
        <v>141</v>
      </c>
      <c r="C8" s="20">
        <f>(C9*2^3+C10)</f>
        <v>8</v>
      </c>
      <c r="D8">
        <f>HEX2DEC(C8)</f>
        <v>8</v>
      </c>
      <c r="E8" t="str">
        <f>HEX2BIN(C8)</f>
        <v>1000</v>
      </c>
    </row>
    <row r="9" spans="1:10">
      <c r="B9" t="s">
        <v>142</v>
      </c>
      <c r="C9" s="20">
        <f>(ROUNDDOWN(HEX2DEC(G1)/(2^13), 0))</f>
        <v>1</v>
      </c>
      <c r="D9">
        <f t="shared" ref="D9:D65" si="0">HEX2DEC(C9)</f>
        <v>1</v>
      </c>
      <c r="E9" t="str">
        <f t="shared" ref="E9:E65" si="1">HEX2BIN(C9)</f>
        <v>1</v>
      </c>
    </row>
    <row r="10" spans="1:10">
      <c r="B10" t="s">
        <v>143</v>
      </c>
      <c r="C10" s="20">
        <f>(ROUNDDOWN((HEX2DEC(G1)-(2^13)*C9)/(2^9), 0))</f>
        <v>0</v>
      </c>
      <c r="D10">
        <f t="shared" si="0"/>
        <v>0</v>
      </c>
      <c r="E10" t="str">
        <f t="shared" si="1"/>
        <v>0</v>
      </c>
    </row>
    <row r="11" spans="1:10">
      <c r="A11" t="s">
        <v>145</v>
      </c>
      <c r="B11" t="s">
        <v>144</v>
      </c>
      <c r="C11" s="20" t="str">
        <f>DEC2HEX(ROUNDDOWN(MOD(HEX2DEC(G1),2^9)/(2^8), 0))</f>
        <v>0</v>
      </c>
      <c r="D11">
        <f t="shared" si="0"/>
        <v>0</v>
      </c>
      <c r="E11" t="str">
        <f t="shared" si="1"/>
        <v>0</v>
      </c>
    </row>
    <row r="12" spans="1:10">
      <c r="A12" t="s">
        <v>231</v>
      </c>
      <c r="B12" t="s">
        <v>146</v>
      </c>
      <c r="C12" s="20" t="str">
        <f>DEC2HEX(ROUNDDOWN(MOD(HEX2DEC(G1),2^8)/(2^7), 0))</f>
        <v>0</v>
      </c>
      <c r="D12">
        <f t="shared" si="0"/>
        <v>0</v>
      </c>
      <c r="E12" t="str">
        <f t="shared" si="1"/>
        <v>0</v>
      </c>
    </row>
    <row r="13" spans="1:10">
      <c r="A13" t="s">
        <v>232</v>
      </c>
      <c r="B13" t="s">
        <v>147</v>
      </c>
      <c r="C13" s="20" t="str">
        <f>DEC2HEX((ROUNDDOWN(MOD(HEX2DEC(G1),2^13)/(2^12), 0)*2^4)+(ROUNDDOWN(MOD(HEX2DEC(G1),2^7)/(2^4), 0)*2^1)+(ROUNDDOWN(MOD(HEX2DEC(G1),2^3)/(2^2), 0))*2^0)</f>
        <v>A</v>
      </c>
      <c r="D13">
        <f t="shared" si="0"/>
        <v>10</v>
      </c>
      <c r="E13" t="str">
        <f t="shared" si="1"/>
        <v>1010</v>
      </c>
    </row>
    <row r="14" spans="1:10">
      <c r="A14" t="s">
        <v>233</v>
      </c>
      <c r="B14" t="s">
        <v>148</v>
      </c>
      <c r="C14" s="20" t="str">
        <f>DEC2HEX(ROUNDDOWN(MOD(HEX2DEC(G1),2^4)/(2^3), 0))</f>
        <v>0</v>
      </c>
      <c r="D14">
        <f t="shared" si="0"/>
        <v>0</v>
      </c>
      <c r="E14" t="str">
        <f t="shared" si="1"/>
        <v>0</v>
      </c>
    </row>
    <row r="15" spans="1:10">
      <c r="A15" t="s">
        <v>234</v>
      </c>
      <c r="B15" t="s">
        <v>149</v>
      </c>
      <c r="C15" s="20" t="str">
        <f>DEC2HEX(ROUNDDOWN(MOD(HEX2DEC(G1),2^2)/(2^0), 0))</f>
        <v>0</v>
      </c>
      <c r="D15">
        <f t="shared" si="0"/>
        <v>0</v>
      </c>
      <c r="E15" t="str">
        <f t="shared" si="1"/>
        <v>0</v>
      </c>
    </row>
    <row r="17" spans="1:5">
      <c r="A17" t="s">
        <v>235</v>
      </c>
      <c r="B17" t="s">
        <v>152</v>
      </c>
      <c r="C17" s="20" t="str">
        <f>DEC2HEX(ROUNDDOWN(MOD(HEX2DEC(G2),2^13)/(2^12), 0))</f>
        <v>0</v>
      </c>
      <c r="D17">
        <f t="shared" si="0"/>
        <v>0</v>
      </c>
      <c r="E17" t="str">
        <f t="shared" si="1"/>
        <v>0</v>
      </c>
    </row>
    <row r="18" spans="1:5">
      <c r="A18" t="s">
        <v>236</v>
      </c>
      <c r="B18" t="s">
        <v>153</v>
      </c>
      <c r="C18" s="20" t="str">
        <f>DEC2HEX(ROUNDDOWN(MOD(HEX2DEC(G2),2^12)/(2^11), 0))</f>
        <v>0</v>
      </c>
      <c r="D18">
        <f t="shared" si="0"/>
        <v>0</v>
      </c>
      <c r="E18" t="str">
        <f t="shared" si="1"/>
        <v>0</v>
      </c>
    </row>
    <row r="19" spans="1:5">
      <c r="A19" t="s">
        <v>237</v>
      </c>
      <c r="B19" t="s">
        <v>154</v>
      </c>
      <c r="C19" s="20" t="str">
        <f>DEC2HEX(ROUNDDOWN(MOD(HEX2DEC(G2),2^11)/(2^8), 0))</f>
        <v>1</v>
      </c>
      <c r="D19">
        <f t="shared" si="0"/>
        <v>1</v>
      </c>
      <c r="E19" t="str">
        <f t="shared" si="1"/>
        <v>1</v>
      </c>
    </row>
    <row r="20" spans="1:5">
      <c r="A20" t="s">
        <v>238</v>
      </c>
      <c r="B20" t="s">
        <v>155</v>
      </c>
      <c r="C20" s="20">
        <f>ROUNDDOWN(MOD(HEX2DEC(G2),2^8)/(2^7), 0)</f>
        <v>0</v>
      </c>
      <c r="D20">
        <f t="shared" si="0"/>
        <v>0</v>
      </c>
      <c r="E20" t="str">
        <f t="shared" si="1"/>
        <v>0</v>
      </c>
    </row>
    <row r="21" spans="1:5">
      <c r="A21" t="s">
        <v>239</v>
      </c>
      <c r="B21" t="s">
        <v>156</v>
      </c>
      <c r="C21" s="20" t="str">
        <f>DEC2HEX((ROUNDDOWN(MOD(HEX2DEC(G2),2^14)/(2^13), 0)*2^2)+(ROUNDDOWN(MOD(HEX2DEC(G2),2^7)/(2^5), 0)))</f>
        <v>0</v>
      </c>
      <c r="D21">
        <f t="shared" si="0"/>
        <v>0</v>
      </c>
      <c r="E21" t="str">
        <f t="shared" si="1"/>
        <v>0</v>
      </c>
    </row>
    <row r="22" spans="1:5">
      <c r="A22" t="s">
        <v>240</v>
      </c>
      <c r="B22" t="s">
        <v>10</v>
      </c>
      <c r="C22" s="20" t="str">
        <f>DEC2HEX(ROUNDDOWN(MOD(HEX2DEC(G2),2^5)/(2^3), 0))</f>
        <v>0</v>
      </c>
      <c r="D22">
        <f t="shared" si="0"/>
        <v>0</v>
      </c>
      <c r="E22" t="str">
        <f t="shared" si="1"/>
        <v>0</v>
      </c>
    </row>
    <row r="23" spans="1:5">
      <c r="A23" t="s">
        <v>241</v>
      </c>
      <c r="B23" t="s">
        <v>157</v>
      </c>
      <c r="C23" s="20" t="str">
        <f>DEC2HEX(ROUNDDOWN(MOD(HEX2DEC(G2),2^3)/(2^1), 0))</f>
        <v>1</v>
      </c>
      <c r="D23">
        <f t="shared" si="0"/>
        <v>1</v>
      </c>
      <c r="E23" t="str">
        <f t="shared" si="1"/>
        <v>1</v>
      </c>
    </row>
    <row r="24" spans="1:5">
      <c r="A24" t="s">
        <v>242</v>
      </c>
      <c r="B24" t="s">
        <v>158</v>
      </c>
      <c r="C24" s="20" t="str">
        <f>DEC2HEX(ROUNDDOWN(MOD(HEX2DEC(G2),2^1)/(2^0), 0))</f>
        <v>1</v>
      </c>
      <c r="D24">
        <f t="shared" si="0"/>
        <v>1</v>
      </c>
      <c r="E24" t="str">
        <f t="shared" si="1"/>
        <v>1</v>
      </c>
    </row>
    <row r="26" spans="1:5">
      <c r="A26" t="s">
        <v>243</v>
      </c>
      <c r="B26" t="s">
        <v>159</v>
      </c>
      <c r="C26" s="20" t="str">
        <f>DEC2HEX(ROUNDDOWN(MOD(HEX2DEC(G3),2^13)/(2^12), 0))</f>
        <v>0</v>
      </c>
      <c r="D26">
        <f t="shared" si="0"/>
        <v>0</v>
      </c>
      <c r="E26" t="str">
        <f t="shared" si="1"/>
        <v>0</v>
      </c>
    </row>
    <row r="27" spans="1:5">
      <c r="A27" t="s">
        <v>244</v>
      </c>
      <c r="B27" t="s">
        <v>160</v>
      </c>
      <c r="C27" s="20" t="str">
        <f>DEC2HEX(ROUNDDOWN(MOD(HEX2DEC(G3),2^12)/(2^9), 0))</f>
        <v>4</v>
      </c>
      <c r="D27">
        <f t="shared" si="0"/>
        <v>4</v>
      </c>
      <c r="E27" t="str">
        <f t="shared" si="1"/>
        <v>100</v>
      </c>
    </row>
    <row r="28" spans="1:5">
      <c r="A28" t="s">
        <v>245</v>
      </c>
      <c r="B28" t="s">
        <v>161</v>
      </c>
      <c r="C28" s="20" t="str">
        <f>DEC2HEX(ROUNDDOWN(MOD(HEX2DEC(G3),2^8)/(2^6), 0))</f>
        <v>0</v>
      </c>
      <c r="D28">
        <f t="shared" si="0"/>
        <v>0</v>
      </c>
      <c r="E28" t="str">
        <f t="shared" si="1"/>
        <v>0</v>
      </c>
    </row>
    <row r="29" spans="1:5">
      <c r="A29" t="s">
        <v>246</v>
      </c>
      <c r="B29" t="s">
        <v>163</v>
      </c>
      <c r="C29" s="20" t="str">
        <f>DEC2HEX(ROUNDDOWN(MOD(HEX2DEC(G3),2^6)/(2^3), 0))</f>
        <v>5</v>
      </c>
      <c r="D29">
        <f t="shared" si="0"/>
        <v>5</v>
      </c>
      <c r="E29" t="str">
        <f t="shared" si="1"/>
        <v>101</v>
      </c>
    </row>
    <row r="31" spans="1:5">
      <c r="A31" t="s">
        <v>247</v>
      </c>
      <c r="B31" t="s">
        <v>166</v>
      </c>
      <c r="C31" s="20" t="str">
        <f>DEC2HEX(ROUNDDOWN(MOD(HEX2DEC(G4),2^13)/(2^11), 0))</f>
        <v>0</v>
      </c>
      <c r="D31">
        <f t="shared" si="0"/>
        <v>0</v>
      </c>
      <c r="E31" t="str">
        <f t="shared" si="1"/>
        <v>0</v>
      </c>
    </row>
    <row r="32" spans="1:5">
      <c r="A32" s="3" t="s">
        <v>248</v>
      </c>
      <c r="B32" t="s">
        <v>168</v>
      </c>
      <c r="C32" s="20" t="str">
        <f>DEC2HEX(ROUNDDOWN(MOD(HEX2DEC(G4),2^11)/(2^9), 0))</f>
        <v>2</v>
      </c>
      <c r="D32">
        <f t="shared" si="0"/>
        <v>2</v>
      </c>
      <c r="E32" t="str">
        <f t="shared" si="1"/>
        <v>10</v>
      </c>
    </row>
    <row r="33" spans="1:5">
      <c r="A33" t="s">
        <v>249</v>
      </c>
      <c r="B33" t="s">
        <v>169</v>
      </c>
      <c r="C33" s="20" t="str">
        <f>DEC2HEX(ROUNDDOWN(MOD(HEX2DEC(G4),2^9)/(2^6), 0))</f>
        <v>0</v>
      </c>
      <c r="D33">
        <f t="shared" si="0"/>
        <v>0</v>
      </c>
      <c r="E33" t="str">
        <f t="shared" si="1"/>
        <v>0</v>
      </c>
    </row>
    <row r="34" spans="1:5">
      <c r="A34" t="s">
        <v>250</v>
      </c>
      <c r="B34" t="s">
        <v>170</v>
      </c>
      <c r="C34" s="20" t="str">
        <f>DEC2HEX(ROUNDDOWN(MOD(HEX2DEC(G4),2^6)/(2^5), 0))</f>
        <v>0</v>
      </c>
      <c r="D34">
        <f t="shared" si="0"/>
        <v>0</v>
      </c>
      <c r="E34" t="str">
        <f t="shared" si="1"/>
        <v>0</v>
      </c>
    </row>
    <row r="35" spans="1:5">
      <c r="A35" s="19" t="s">
        <v>251</v>
      </c>
      <c r="B35" t="s">
        <v>172</v>
      </c>
      <c r="C35" s="20" t="str">
        <f>DEC2HEX(ROUNDDOWN(MOD(HEX2DEC(G4),2^5)/(2^4), 0))</f>
        <v>0</v>
      </c>
      <c r="D35">
        <f t="shared" si="0"/>
        <v>0</v>
      </c>
      <c r="E35" t="str">
        <f t="shared" si="1"/>
        <v>0</v>
      </c>
    </row>
    <row r="36" spans="1:5">
      <c r="A36" t="s">
        <v>252</v>
      </c>
      <c r="B36" t="s">
        <v>174</v>
      </c>
      <c r="C36" s="20" t="str">
        <f>DEC2HEX(ROUNDDOWN(MOD(HEX2DEC(G4),2^4)/(2^3), 0))</f>
        <v>0</v>
      </c>
      <c r="D36">
        <f t="shared" si="0"/>
        <v>0</v>
      </c>
      <c r="E36" t="str">
        <f t="shared" si="1"/>
        <v>0</v>
      </c>
    </row>
    <row r="37" spans="1:5">
      <c r="A37" t="s">
        <v>254</v>
      </c>
      <c r="B37" t="s">
        <v>177</v>
      </c>
      <c r="C37" s="20" t="str">
        <f>DEC2HEX(ROUNDDOWN(MOD(HEX2DEC(G4),2^3)/(2^2), 0))</f>
        <v>0</v>
      </c>
      <c r="D37">
        <f t="shared" si="0"/>
        <v>0</v>
      </c>
      <c r="E37" t="str">
        <f t="shared" si="1"/>
        <v>0</v>
      </c>
    </row>
    <row r="38" spans="1:5">
      <c r="A38" t="s">
        <v>253</v>
      </c>
      <c r="B38" t="s">
        <v>179</v>
      </c>
      <c r="C38" s="20" t="str">
        <f>DEC2HEX(ROUNDDOWN(MOD(HEX2DEC(G4),2^2)/(2^0), 0))</f>
        <v>0</v>
      </c>
      <c r="D38">
        <f t="shared" si="0"/>
        <v>0</v>
      </c>
      <c r="E38" t="str">
        <f t="shared" si="1"/>
        <v>0</v>
      </c>
    </row>
    <row r="40" spans="1:5">
      <c r="A40" t="s">
        <v>255</v>
      </c>
      <c r="B40" t="s">
        <v>182</v>
      </c>
      <c r="C40" s="20" t="str">
        <f>DEC2HEX(ROUNDDOWN(MOD(HEX2DEC(G5),2^14)/(2^13), 0))</f>
        <v>0</v>
      </c>
      <c r="D40">
        <f t="shared" si="0"/>
        <v>0</v>
      </c>
      <c r="E40" t="str">
        <f t="shared" si="1"/>
        <v>0</v>
      </c>
    </row>
    <row r="41" spans="1:5">
      <c r="A41" t="s">
        <v>256</v>
      </c>
      <c r="B41" t="s">
        <v>184</v>
      </c>
      <c r="C41" s="20" t="str">
        <f>DEC2HEX(ROUNDDOWN(MOD(HEX2DEC(G5),2^13)/(2^12), 0))</f>
        <v>1</v>
      </c>
      <c r="D41">
        <f t="shared" si="0"/>
        <v>1</v>
      </c>
      <c r="E41" t="str">
        <f t="shared" si="1"/>
        <v>1</v>
      </c>
    </row>
    <row r="42" spans="1:5">
      <c r="A42" t="s">
        <v>257</v>
      </c>
      <c r="B42" t="s">
        <v>185</v>
      </c>
      <c r="C42" s="20" t="str">
        <f>DEC2HEX(ROUNDDOWN(MOD(HEX2DEC(G5),2^12)/(2^11), 0))</f>
        <v>1</v>
      </c>
      <c r="D42">
        <f t="shared" si="0"/>
        <v>1</v>
      </c>
      <c r="E42" t="str">
        <f t="shared" si="1"/>
        <v>1</v>
      </c>
    </row>
    <row r="43" spans="1:5">
      <c r="A43" t="s">
        <v>258</v>
      </c>
      <c r="B43" t="s">
        <v>186</v>
      </c>
      <c r="C43" s="20" t="str">
        <f>DEC2HEX(ROUNDDOWN(MOD(HEX2DEC(G5),2^11)/(2^10), 0))</f>
        <v>0</v>
      </c>
      <c r="D43">
        <f t="shared" si="0"/>
        <v>0</v>
      </c>
      <c r="E43" t="str">
        <f t="shared" si="1"/>
        <v>0</v>
      </c>
    </row>
    <row r="44" spans="1:5">
      <c r="A44" t="s">
        <v>259</v>
      </c>
      <c r="B44" t="s">
        <v>187</v>
      </c>
      <c r="C44" s="20" t="str">
        <f>DEC2HEX(ROUNDDOWN(MOD(HEX2DEC(G5),2^10)/(2^9), 0))</f>
        <v>0</v>
      </c>
      <c r="D44">
        <f t="shared" si="0"/>
        <v>0</v>
      </c>
      <c r="E44" t="str">
        <f t="shared" si="1"/>
        <v>0</v>
      </c>
    </row>
    <row r="45" spans="1:5">
      <c r="A45" t="s">
        <v>260</v>
      </c>
      <c r="B45" t="s">
        <v>189</v>
      </c>
      <c r="C45" s="20" t="str">
        <f>DEC2HEX(ROUNDDOWN(MOD(HEX2DEC(G5),2^9)/(2^6), 0))</f>
        <v>0</v>
      </c>
      <c r="D45">
        <f t="shared" si="0"/>
        <v>0</v>
      </c>
      <c r="E45" t="str">
        <f t="shared" si="1"/>
        <v>0</v>
      </c>
    </row>
    <row r="46" spans="1:5">
      <c r="A46" t="s">
        <v>261</v>
      </c>
      <c r="B46" t="s">
        <v>190</v>
      </c>
      <c r="C46" s="20" t="str">
        <f>DEC2HEX(ROUNDDOWN(MOD(HEX2DEC(G5),2^6)/(2^5), 0))</f>
        <v>0</v>
      </c>
      <c r="D46">
        <f t="shared" si="0"/>
        <v>0</v>
      </c>
      <c r="E46" t="str">
        <f t="shared" si="1"/>
        <v>0</v>
      </c>
    </row>
    <row r="47" spans="1:5">
      <c r="A47" t="s">
        <v>262</v>
      </c>
      <c r="B47" t="s">
        <v>191</v>
      </c>
      <c r="C47" s="20" t="str">
        <f>DEC2HEX(ROUNDDOWN(MOD(HEX2DEC(G5),2^5)/(2^4), 0))</f>
        <v>1</v>
      </c>
      <c r="D47">
        <f t="shared" si="0"/>
        <v>1</v>
      </c>
      <c r="E47" t="str">
        <f t="shared" si="1"/>
        <v>1</v>
      </c>
    </row>
    <row r="48" spans="1:5">
      <c r="A48" t="s">
        <v>263</v>
      </c>
      <c r="B48" t="s">
        <v>192</v>
      </c>
      <c r="C48" s="20" t="str">
        <f>DEC2HEX(ROUNDDOWN(MOD(HEX2DEC(G5),2^4)/(2^3), 0))</f>
        <v>0</v>
      </c>
      <c r="D48">
        <f t="shared" si="0"/>
        <v>0</v>
      </c>
      <c r="E48" t="str">
        <f t="shared" si="1"/>
        <v>0</v>
      </c>
    </row>
    <row r="49" spans="1:5">
      <c r="A49" t="s">
        <v>264</v>
      </c>
      <c r="B49" t="s">
        <v>193</v>
      </c>
      <c r="C49" s="20" t="str">
        <f>DEC2HEX(ROUNDDOWN(MOD(HEX2DEC(G5),2^3)/(2^2), 0))</f>
        <v>0</v>
      </c>
      <c r="D49">
        <f t="shared" si="0"/>
        <v>0</v>
      </c>
      <c r="E49" t="str">
        <f t="shared" si="1"/>
        <v>0</v>
      </c>
    </row>
    <row r="50" spans="1:5">
      <c r="A50" t="s">
        <v>265</v>
      </c>
      <c r="B50" t="s">
        <v>194</v>
      </c>
      <c r="C50" s="20" t="str">
        <f>DEC2HEX(ROUNDDOWN(MOD(HEX2DEC(G5),2^2)/(2^1), 0))</f>
        <v>0</v>
      </c>
      <c r="D50">
        <f t="shared" si="0"/>
        <v>0</v>
      </c>
      <c r="E50" t="str">
        <f t="shared" si="1"/>
        <v>0</v>
      </c>
    </row>
    <row r="52" spans="1:5">
      <c r="A52" t="s">
        <v>266</v>
      </c>
      <c r="B52" t="s">
        <v>195</v>
      </c>
      <c r="C52" s="20" t="str">
        <f>DEC2HEX(ROUNDDOWN(MOD(HEX2DEC(G6),2^13)/(2^12), 0))</f>
        <v>0</v>
      </c>
      <c r="D52">
        <f t="shared" si="0"/>
        <v>0</v>
      </c>
      <c r="E52" t="str">
        <f t="shared" si="1"/>
        <v>0</v>
      </c>
    </row>
    <row r="53" spans="1:5">
      <c r="A53" t="s">
        <v>267</v>
      </c>
      <c r="B53" t="s">
        <v>196</v>
      </c>
      <c r="C53" s="20" t="str">
        <f>DEC2HEX(ROUNDDOWN(MOD(HEX2DEC(G6),2^12)/(2^11), 0))</f>
        <v>0</v>
      </c>
      <c r="D53">
        <f t="shared" si="0"/>
        <v>0</v>
      </c>
      <c r="E53" t="str">
        <f t="shared" si="1"/>
        <v>0</v>
      </c>
    </row>
    <row r="54" spans="1:5">
      <c r="A54" t="s">
        <v>268</v>
      </c>
      <c r="B54" t="s">
        <v>197</v>
      </c>
      <c r="C54" s="20" t="str">
        <f>DEC2HEX(ROUNDDOWN(MOD(HEX2DEC(G6),2^11)/(2^10), 0))</f>
        <v>1</v>
      </c>
      <c r="D54">
        <f t="shared" si="0"/>
        <v>1</v>
      </c>
      <c r="E54" t="str">
        <f t="shared" si="1"/>
        <v>1</v>
      </c>
    </row>
    <row r="55" spans="1:5">
      <c r="A55" t="s">
        <v>269</v>
      </c>
      <c r="B55" t="s">
        <v>198</v>
      </c>
      <c r="C55" s="20" t="str">
        <f>DEC2HEX(ROUNDDOWN(MOD(HEX2DEC(G6),2^10)/(2^9), 0))</f>
        <v>0</v>
      </c>
      <c r="D55">
        <f t="shared" si="0"/>
        <v>0</v>
      </c>
      <c r="E55" t="str">
        <f t="shared" si="1"/>
        <v>0</v>
      </c>
    </row>
    <row r="56" spans="1:5">
      <c r="A56" t="s">
        <v>270</v>
      </c>
      <c r="B56" t="s">
        <v>199</v>
      </c>
      <c r="C56" s="20" t="str">
        <f>DEC2HEX(ROUNDDOWN(MOD(HEX2DEC(G6),2^9)/(2^6), 0))</f>
        <v>2</v>
      </c>
      <c r="D56">
        <f t="shared" si="0"/>
        <v>2</v>
      </c>
      <c r="E56" t="str">
        <f t="shared" si="1"/>
        <v>10</v>
      </c>
    </row>
    <row r="57" spans="1:5">
      <c r="A57" t="s">
        <v>271</v>
      </c>
      <c r="B57" t="s">
        <v>200</v>
      </c>
      <c r="C57" s="20" t="str">
        <f>DEC2HEX(ROUNDDOWN(MOD(HEX2DEC(G6),2^6)/(2^5), 0))</f>
        <v>0</v>
      </c>
      <c r="D57">
        <f t="shared" si="0"/>
        <v>0</v>
      </c>
      <c r="E57" t="str">
        <f t="shared" si="1"/>
        <v>0</v>
      </c>
    </row>
    <row r="58" spans="1:5">
      <c r="A58" t="s">
        <v>272</v>
      </c>
      <c r="B58" t="s">
        <v>201</v>
      </c>
      <c r="C58" s="20" t="str">
        <f>DEC2HEX(ROUNDDOWN(MOD(HEX2DEC(G6),2^5)/(2^4), 0))</f>
        <v>0</v>
      </c>
      <c r="D58">
        <f t="shared" si="0"/>
        <v>0</v>
      </c>
      <c r="E58" t="str">
        <f t="shared" si="1"/>
        <v>0</v>
      </c>
    </row>
    <row r="59" spans="1:5">
      <c r="A59" t="s">
        <v>273</v>
      </c>
      <c r="B59" t="s">
        <v>202</v>
      </c>
      <c r="C59" s="20" t="str">
        <f>DEC2HEX(ROUNDDOWN(MOD(HEX2DEC(G6),2^4)/(2^3), 0))</f>
        <v>0</v>
      </c>
      <c r="D59">
        <f t="shared" si="0"/>
        <v>0</v>
      </c>
      <c r="E59" t="str">
        <f t="shared" si="1"/>
        <v>0</v>
      </c>
    </row>
    <row r="60" spans="1:5">
      <c r="A60" t="s">
        <v>274</v>
      </c>
      <c r="B60" t="s">
        <v>4</v>
      </c>
      <c r="C60" s="20" t="str">
        <f>DEC2HEX(ROUNDDOWN(MOD(HEX2DEC(G6),2^3)/(2^0), 0))</f>
        <v>0</v>
      </c>
      <c r="D60">
        <f t="shared" si="0"/>
        <v>0</v>
      </c>
      <c r="E60" t="str">
        <f t="shared" si="1"/>
        <v>0</v>
      </c>
    </row>
    <row r="62" spans="1:5">
      <c r="A62" t="s">
        <v>63</v>
      </c>
      <c r="B62" t="s">
        <v>203</v>
      </c>
      <c r="C62" s="20" t="str">
        <f>DEC2HEX(ROUNDDOWN(MOD(HEX2DEC(G7),2^13)/(2^10), 0))</f>
        <v>4</v>
      </c>
      <c r="D62">
        <f t="shared" si="0"/>
        <v>4</v>
      </c>
      <c r="E62" t="str">
        <f t="shared" si="1"/>
        <v>100</v>
      </c>
    </row>
    <row r="63" spans="1:5">
      <c r="A63" t="s">
        <v>275</v>
      </c>
      <c r="B63" t="s">
        <v>204</v>
      </c>
      <c r="C63" s="20" t="str">
        <f>DEC2HEX(ROUNDDOWN(MOD(HEX2DEC(G7),2^8)/(2^7), 0))</f>
        <v>0</v>
      </c>
      <c r="D63">
        <f t="shared" si="0"/>
        <v>0</v>
      </c>
      <c r="E63" t="str">
        <f t="shared" si="1"/>
        <v>0</v>
      </c>
    </row>
    <row r="64" spans="1:5">
      <c r="A64" t="s">
        <v>276</v>
      </c>
      <c r="B64" t="s">
        <v>205</v>
      </c>
      <c r="C64" s="20" t="str">
        <f>DEC2HEX(ROUNDDOWN(MOD(HEX2DEC(G7),2^7)/(2^6), 0))</f>
        <v>0</v>
      </c>
      <c r="D64">
        <f t="shared" si="0"/>
        <v>0</v>
      </c>
      <c r="E64" t="str">
        <f t="shared" si="1"/>
        <v>0</v>
      </c>
    </row>
    <row r="65" spans="1:5">
      <c r="A65" t="s">
        <v>277</v>
      </c>
      <c r="B65" t="s">
        <v>206</v>
      </c>
      <c r="C65" s="20" t="str">
        <f>DEC2HEX(ROUNDDOWN(MOD(HEX2DEC(G7),2^6)/(2^0), 0))</f>
        <v>18</v>
      </c>
      <c r="D65">
        <f t="shared" si="0"/>
        <v>24</v>
      </c>
      <c r="E65" t="str">
        <f t="shared" si="1"/>
        <v>11000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"/>
  <sheetViews>
    <sheetView workbookViewId="0">
      <selection activeCell="N29" sqref="N29"/>
    </sheetView>
  </sheetViews>
  <sheetFormatPr defaultRowHeight="15"/>
  <cols>
    <col min="1" max="1" width="11.42578125" bestFit="1" customWidth="1"/>
    <col min="2" max="2" width="15.42578125" customWidth="1"/>
    <col min="3" max="3" width="5.85546875" customWidth="1"/>
    <col min="4" max="4" width="4.85546875" style="11" customWidth="1"/>
    <col min="6" max="6" width="6.85546875" customWidth="1"/>
    <col min="7" max="7" width="15.7109375" bestFit="1" customWidth="1"/>
    <col min="9" max="9" width="10.5703125" bestFit="1" customWidth="1"/>
    <col min="11" max="11" width="12.42578125" bestFit="1" customWidth="1"/>
    <col min="12" max="12" width="4.140625" customWidth="1"/>
    <col min="13" max="13" width="4.7109375" style="12" customWidth="1"/>
    <col min="18" max="18" width="12.42578125" bestFit="1" customWidth="1"/>
    <col min="19" max="19" width="10" bestFit="1" customWidth="1"/>
  </cols>
  <sheetData>
    <row r="1" spans="1:21">
      <c r="A1" s="23" t="s">
        <v>12</v>
      </c>
      <c r="B1" t="s">
        <v>0</v>
      </c>
      <c r="C1">
        <f>IF((H1=1),ROUNDDOWN(((((F1+(F2/2))*O2)+(F3))/O2/2),0),(ROUNDUP(((((F1+(F2/2))*O2)+(F3))/O2/2),0)))</f>
        <v>13</v>
      </c>
      <c r="D1" s="11" t="str">
        <f>DEC2HEX(C1)</f>
        <v>D</v>
      </c>
      <c r="E1" t="s">
        <v>1</v>
      </c>
      <c r="F1">
        <f>(J1+J2+J3)</f>
        <v>11</v>
      </c>
      <c r="G1" t="s">
        <v>2</v>
      </c>
      <c r="H1" s="1">
        <v>1</v>
      </c>
      <c r="I1" t="s">
        <v>3</v>
      </c>
      <c r="J1">
        <f>IF(H4=0,0,J4-H4)</f>
        <v>0</v>
      </c>
      <c r="K1" t="s">
        <v>4</v>
      </c>
      <c r="L1">
        <f>IF((H2),(IF(O1&lt;=2133,(1),(IF(O1&lt;=2666,(2),(IF(O1&lt;=3200,(3),("RFU"))))))),0)</f>
        <v>0</v>
      </c>
      <c r="M1" s="12" t="str">
        <f>DEC2HEX(L1)</f>
        <v>0</v>
      </c>
      <c r="N1" t="s">
        <v>5</v>
      </c>
      <c r="O1" s="1">
        <v>1600</v>
      </c>
      <c r="P1" s="1"/>
      <c r="Q1" s="1"/>
      <c r="R1" s="1"/>
      <c r="S1" s="1"/>
      <c r="T1" s="1"/>
      <c r="U1" s="1"/>
    </row>
    <row r="2" spans="1:21">
      <c r="A2" s="23"/>
      <c r="B2" t="s">
        <v>6</v>
      </c>
      <c r="C2">
        <f>IF(H5=1,ROUNDUP(F4/O2/2,0),ROUNDDOWN(F4/O2,0))</f>
        <v>14</v>
      </c>
      <c r="D2" s="11" t="str">
        <f t="shared" ref="D2:D64" si="0">DEC2HEX(C2)</f>
        <v>E</v>
      </c>
      <c r="E2" t="s">
        <v>7</v>
      </c>
      <c r="F2" s="1">
        <v>8</v>
      </c>
      <c r="G2" t="s">
        <v>8</v>
      </c>
      <c r="H2" s="1">
        <v>0</v>
      </c>
      <c r="I2" t="s">
        <v>9</v>
      </c>
      <c r="J2">
        <f>IF(L1=0,0,(IF(L1=1,(4),(IF(L1=2,(5),(IF(L1=3,(6),("FRU"))))))))</f>
        <v>0</v>
      </c>
      <c r="K2" t="s">
        <v>10</v>
      </c>
      <c r="L2">
        <f>H4</f>
        <v>0</v>
      </c>
      <c r="M2" s="12" t="str">
        <f t="shared" ref="M2:M61" si="1">DEC2HEX(L2)</f>
        <v>0</v>
      </c>
      <c r="N2" t="s">
        <v>11</v>
      </c>
      <c r="O2">
        <f>2000/O1</f>
        <v>1.25</v>
      </c>
      <c r="R2" s="2" t="s">
        <v>12</v>
      </c>
      <c r="S2" s="2" t="str">
        <f>DEC2HEX(C4+C3*POWER(2,8)+C2*POWER(2,16)+C1*POWER(2,24),8)</f>
        <v>0D0E1A0E</v>
      </c>
    </row>
    <row r="3" spans="1:21">
      <c r="A3" s="23"/>
      <c r="B3" t="s">
        <v>13</v>
      </c>
      <c r="C3">
        <f>IF(H5=1,(ROUNDDOWN(ROUNDDOWN((((F6/O2/1024)-1)/2),0),0)),(ROUNDDOWN((F6/O2/1024),0)))</f>
        <v>26</v>
      </c>
      <c r="D3" s="11" t="str">
        <f t="shared" si="0"/>
        <v>1A</v>
      </c>
      <c r="E3" t="s">
        <v>14</v>
      </c>
      <c r="F3">
        <v>15</v>
      </c>
      <c r="G3" t="s">
        <v>15</v>
      </c>
      <c r="H3" s="1">
        <v>0</v>
      </c>
      <c r="I3" t="s">
        <v>16</v>
      </c>
      <c r="J3">
        <f>IF(H8,(IF(H1,(IF(O1&lt;=1600,(11),(IF(O1&lt;=1866,(12),(IF(O1&lt;=2133,(14),(IF(O1&lt;=2400,(16),(IF(O1&lt;=2666,(18),(IF(O1&lt;=2933,(20),(IF(O1&lt;=3200,(20),(12))))))))))))))),(IF(O1&lt;=1600,("N/A"),(IF(O1&lt;=1866,("N/A"),(IF(O1&lt;=2133,("N/A"),(IF(O1&lt;=2400,(16),(IF(O1&lt;=2666,(18),(IF(O1&lt;=2933,(20),(IF(O1&lt;=3200,(20),(12))))))))))))))))),(IF(H1,(IF(O1&lt;=1600,(9),(IF(O1&lt;=1866,(10),(IF(O1&lt;=2133,(11),(IF(O1&lt;=2400,(12),(IF(O1&lt;=2666,(14),(IF(O1&lt;=2933,(16),(IF(O1&lt;=3200,(16),("N/A"))))))))))))))),(IF(O1&lt;=1600,("N/A"),(IF(O1&lt;=1866,("N/A"),(IF(O1&lt;=2133,("N/A"),(IF(O1&lt;=2400,(14),(IF(O1&lt;=2666,(16),(IF(O1&lt;=2933,(18),(IF(O1&lt;=3200,(18),("N/A"))))))))))))))))))</f>
        <v>11</v>
      </c>
      <c r="K3" t="s">
        <v>140</v>
      </c>
      <c r="L3">
        <v>0</v>
      </c>
      <c r="M3" s="12" t="str">
        <f t="shared" si="1"/>
        <v>0</v>
      </c>
      <c r="R3" s="2" t="s">
        <v>17</v>
      </c>
      <c r="S3" s="2" t="str">
        <f>DEC2HEX(C8+C7*POWER(2,8)+C6*POWER(2,16),8)</f>
        <v>00030314</v>
      </c>
    </row>
    <row r="4" spans="1:21">
      <c r="A4" s="23"/>
      <c r="B4" t="s">
        <v>18</v>
      </c>
      <c r="C4">
        <f>IF(H5=1,IF(H1,ROUNDDOWN((F5/O2/2),0),ROUNDDOWN(F5/O2/2,0)),ROUNDUP(F5/O2,0))</f>
        <v>14</v>
      </c>
      <c r="D4" s="11" t="str">
        <f t="shared" si="0"/>
        <v>E</v>
      </c>
      <c r="E4" t="s">
        <v>19</v>
      </c>
      <c r="F4" s="3">
        <f>IF((H6=2),(IF((O1&lt;=2400),(IF(((28*O2)-35&gt;0),(ROUNDUP((28*O2),0)),(35))),(IF(((28*O2)-30&gt;0),(ROUNDUP((28*O2),0)),(30))))),IF((H6=1),(IF((O1&lt;=2400),(IF(((20*O2)-25&gt;0),(ROUNDUP((20*O2),0)),(25))),(IF(((20*O2)-21&gt;0),(ROUNDUP((20*O2),0)),(21))))),IF((H6=0),(IF((O1&lt;=2400),(IF(((16*O2)-20&gt;0),(ROUNDUP((16*O2),0)),(20))),(IF(((16*O2)-12&gt;0),(ROUNDUP((16*O2),0)),(12))))),"N/A")))</f>
        <v>35</v>
      </c>
      <c r="G4" t="s">
        <v>20</v>
      </c>
      <c r="H4" s="1">
        <v>0</v>
      </c>
      <c r="I4" t="s">
        <v>21</v>
      </c>
      <c r="J4">
        <f>IF(H3,(IF(O1&lt;=1600,(14),(IF(O1&lt;=1866,(16),(IF(O1&lt;=2133,(19),(IF(O1&lt;=2400,(21),(IF(O1&lt;=2666,(23),(IF(O1&lt;=2933,(26),(IF(O1&lt;=3200,(28),("N/A"))))))))))))))),(IF(O1&lt;=1600,(12),(IF(O1&lt;=1866,(14),(IF(O1&lt;=2133,(16),(IF(O1&lt;=2400,(18),(IF(O1&lt;=2666,(20),(IF(O1&lt;=2933,(22),(IF(O1&lt;=3200,(24),("N/A"))))))))))))))))</f>
        <v>12</v>
      </c>
      <c r="K4" t="s">
        <v>141</v>
      </c>
      <c r="L4">
        <f>IF(J9=5,0,IF(J9=6,1,IF(J9=7,2,IF(J9=8,3,IF(J9=9,4,IF(J9=10,5,IF(J9=12,6,IF(J9=11,7,IF(J9=13,8,IF(J9=14,9,"N/A"))))))))))</f>
        <v>1</v>
      </c>
      <c r="M4" s="12" t="str">
        <f t="shared" si="1"/>
        <v>1</v>
      </c>
      <c r="R4" s="2" t="s">
        <v>22</v>
      </c>
      <c r="S4" s="2" t="str">
        <f>DEC2HEX(C13+C12*POWER(2,8)+C11*POWER(2,16)+C10*POWER(2,24),8)</f>
        <v>0606040B</v>
      </c>
    </row>
    <row r="5" spans="1:21" ht="13.5" customHeight="1">
      <c r="E5" s="4" t="s">
        <v>23</v>
      </c>
      <c r="F5">
        <f>(IF(O1&lt;=1600,(35),(IF(O1&lt;=1866,(34),(IF(O1&lt;=2133,(33),(IF(O1&lt;=2400,(32),(IF(O1&lt;=2666,(32),(IF(O1&lt;=2933,(32),(IF(O1&lt;=3200,(32),("N/A")))))))))))))))</f>
        <v>35</v>
      </c>
      <c r="G5" s="3" t="s">
        <v>24</v>
      </c>
      <c r="H5" s="1">
        <v>1</v>
      </c>
      <c r="I5" t="s">
        <v>25</v>
      </c>
      <c r="J5">
        <v>7.8</v>
      </c>
      <c r="K5" t="s">
        <v>142</v>
      </c>
      <c r="L5">
        <f>INT((IF(J9=5,0,IF(J9=6,1,IF(J9=7,2,IF(J9=8,3,IF(J9=9,4,IF(J9=10,5,IF(J9=12,6,IF(J9=11,7,IF(J9=13,8,IF(J9=14,9,"N/A")))))))))))/8)</f>
        <v>0</v>
      </c>
      <c r="M5" s="12" t="str">
        <f t="shared" si="1"/>
        <v>0</v>
      </c>
      <c r="R5" s="2" t="s">
        <v>26</v>
      </c>
      <c r="S5" s="2" t="str">
        <f>DEC2HEX(C17+C16*POWER(2,12)+C15*POWER(2,20),8)</f>
        <v>0050400C</v>
      </c>
    </row>
    <row r="6" spans="1:21" ht="17.25" customHeight="1">
      <c r="A6" s="23" t="s">
        <v>17</v>
      </c>
      <c r="B6" t="s">
        <v>27</v>
      </c>
      <c r="C6">
        <f>ROUNDUP(IF(H2,(IF(H5,(J8/2),ROUNDUP(J8/2,0)))+J2,(IF(H5,(J8/2),ROUNDUP(J8/2,0)))),0)</f>
        <v>3</v>
      </c>
      <c r="D6" s="11" t="str">
        <f t="shared" si="0"/>
        <v>3</v>
      </c>
      <c r="E6" s="4" t="s">
        <v>28</v>
      </c>
      <c r="F6">
        <f>9*J6*1000</f>
        <v>70200</v>
      </c>
      <c r="G6" s="5" t="s">
        <v>29</v>
      </c>
      <c r="H6" s="1">
        <v>2</v>
      </c>
      <c r="I6" t="s">
        <v>30</v>
      </c>
      <c r="J6">
        <f>(J5/(POWER(2,H7)))</f>
        <v>7.8</v>
      </c>
      <c r="K6" t="s">
        <v>143</v>
      </c>
      <c r="L6">
        <f>MOD((IF(J9=5,0,IF(J9=6,1,IF(J9=7,2,IF(J9=8,3,IF(J9=9,4,IF(J9=10,5,IF(J9=12,6,IF(J9=11,7,IF(J9=13,8,IF(J9=14,9,"N/A"))))))))))),8)</f>
        <v>1</v>
      </c>
      <c r="M6" s="12" t="str">
        <f t="shared" si="1"/>
        <v>1</v>
      </c>
      <c r="R6" s="2" t="s">
        <v>31</v>
      </c>
      <c r="S6" s="2" t="str">
        <f>DEC2HEX(C22+C21*POWER(2,8)+C20*POWER(2,16)+C19*POWER(2,24),8)</f>
        <v>06030307</v>
      </c>
    </row>
    <row r="7" spans="1:21">
      <c r="A7" s="23"/>
      <c r="B7" t="s">
        <v>32</v>
      </c>
      <c r="C7">
        <f>IF(H5=0,(IF((J9+J1)-(F7+F2/2-(ROUNDUP(J10/O2,0)))&gt;0,(J9+J1),(F7+F2/2-(ROUNDUP(J10/O2,0))))),(IF(H1=1,ROUNDDOWN(IF((J9+J1)-(F7+F2/2-(ROUNDUP(J10/O2,0)))&gt;0,(J9+J1),(F7+F2/2-(ROUNDUP(J10/O2,0))))/2,0),ROUNDUP((IF((J9+J1)-(F7+F2/2-(ROUNDUP(J10/O2,0)))&gt;0,(J9+J1),(F7+F2/2-(ROUNDUP(J10/O2,0)))))/2,0))))</f>
        <v>3</v>
      </c>
      <c r="D7" s="11" t="str">
        <f t="shared" si="0"/>
        <v>3</v>
      </c>
      <c r="E7" t="s">
        <v>33</v>
      </c>
      <c r="F7">
        <f>J1+J4</f>
        <v>12</v>
      </c>
      <c r="G7" t="s">
        <v>34</v>
      </c>
      <c r="H7" s="1">
        <v>0</v>
      </c>
      <c r="I7" t="s">
        <v>30</v>
      </c>
      <c r="J7">
        <f>(J5/(POWER(2,H7+1)))</f>
        <v>3.9</v>
      </c>
      <c r="K7" t="s">
        <v>144</v>
      </c>
      <c r="L7">
        <f>F8</f>
        <v>0</v>
      </c>
      <c r="M7" s="12" t="str">
        <f t="shared" si="1"/>
        <v>0</v>
      </c>
      <c r="R7" s="2" t="s">
        <v>35</v>
      </c>
      <c r="S7" s="2" t="str">
        <f>DEC2HEX(C27+C26*POWER(2,8)+C25*POWER(2,16)+C24*POWER(2,24),8)</f>
        <v>04040302</v>
      </c>
    </row>
    <row r="8" spans="1:21">
      <c r="A8" s="23"/>
      <c r="B8" t="s">
        <v>36</v>
      </c>
      <c r="C8">
        <f>IF(H5=0,ROUNDUP(J11/O2,0),IF(H1=1,ROUNDDOWN(ROUNDUP(J11/O2,0)/2,0),ROUNDUP(ROUNDUP(J11/O2,0)/2,0)))</f>
        <v>20</v>
      </c>
      <c r="D8" s="11" t="str">
        <f t="shared" si="0"/>
        <v>14</v>
      </c>
      <c r="E8" t="s">
        <v>145</v>
      </c>
      <c r="F8">
        <v>0</v>
      </c>
      <c r="G8" t="s">
        <v>37</v>
      </c>
      <c r="H8" s="1">
        <v>1</v>
      </c>
      <c r="I8" s="6" t="s">
        <v>38</v>
      </c>
      <c r="J8">
        <f>ROUNDUP(IF(((6/O2)-4)&gt;0,(6/O2),4),0)</f>
        <v>5</v>
      </c>
      <c r="K8" t="s">
        <v>146</v>
      </c>
      <c r="L8">
        <v>0</v>
      </c>
      <c r="M8" s="12" t="str">
        <f t="shared" si="1"/>
        <v>0</v>
      </c>
      <c r="R8" s="9" t="s">
        <v>39</v>
      </c>
      <c r="S8" s="9" t="str">
        <f>DEC2HEX(C31+C30*POWER(2,16)+C29*POWER(2,24),8)</f>
        <v>02020005</v>
      </c>
    </row>
    <row r="9" spans="1:21">
      <c r="G9" t="s">
        <v>40</v>
      </c>
      <c r="H9" s="1">
        <v>110</v>
      </c>
      <c r="I9" s="4" t="s">
        <v>41</v>
      </c>
      <c r="J9">
        <f>ROUNDUP(IF(((7.5/O2)-4)&gt;0,(7.5/O2),4),0)</f>
        <v>6</v>
      </c>
      <c r="K9" t="s">
        <v>147</v>
      </c>
      <c r="L9">
        <f>IF(J4=9,0,IF(J4=10,1,IF(J4=11,2,IF(J4=11,2,IF(J4=12,3,IF(J4=13,4,IF(J4=14,5,IF(J4=15,6,IF(J4=16,7,IF(J4=18,8,IF(J4=20,9,IF(J4=22,10,IF(J4=24,11,IF(J4=23,12,IF(J4=17,13,IF(J4=19,14,IF(J4=21,15,IF(J4=25,16,IF(J4=26,17,IF(J4=27,18,IF(J4=28,19,IF(J4=29,20,IF(J4=30,21,IF(J4=31,22,IF(J4=32,23,"N/A")))))))))))))))))))))))))</f>
        <v>3</v>
      </c>
      <c r="M9" s="12" t="str">
        <f t="shared" si="1"/>
        <v>3</v>
      </c>
      <c r="R9" s="9" t="s">
        <v>42</v>
      </c>
      <c r="S9" s="9" t="str">
        <f>DEC2HEX(C34+C33*POWER(2,8),8)</f>
        <v>00000404</v>
      </c>
    </row>
    <row r="10" spans="1:21">
      <c r="A10" s="23" t="s">
        <v>22</v>
      </c>
      <c r="B10" t="s">
        <v>43</v>
      </c>
      <c r="C10">
        <f>IF(H5=0,F1,ROUNDUP(F1/2,0))</f>
        <v>6</v>
      </c>
      <c r="D10" s="11" t="str">
        <f t="shared" si="0"/>
        <v>6</v>
      </c>
      <c r="G10" t="s">
        <v>44</v>
      </c>
      <c r="H10" s="1">
        <v>260</v>
      </c>
      <c r="I10" s="4" t="s">
        <v>45</v>
      </c>
      <c r="J10">
        <f>IF(1,15,(IF(O1&lt;=1600,(15),(IF(O1&lt;=1866,(15),(IF(O1&lt;=2133,(15),(IF(O1&lt;=2400,(14.16),(IF(O1&lt;=2666,(14.25),(IF(O1&lt;=2933,(15),(IF(O1&lt;=3200,(15),("N/A"))))))))))))))))</f>
        <v>15</v>
      </c>
      <c r="K10" t="s">
        <v>148</v>
      </c>
      <c r="L10" s="1">
        <v>0</v>
      </c>
      <c r="M10" s="12" t="str">
        <f t="shared" si="1"/>
        <v>0</v>
      </c>
      <c r="R10" s="2" t="s">
        <v>46</v>
      </c>
      <c r="S10" s="2" t="str">
        <f>DEC2HEX(C39+C38*POWER(2,8)+C37*POWER(2,16)+C36*POWER(2,24),8)</f>
        <v>02020A05</v>
      </c>
    </row>
    <row r="11" spans="1:21">
      <c r="A11" s="23"/>
      <c r="B11" t="s">
        <v>47</v>
      </c>
      <c r="C11">
        <f>IF(H5=0,F7,ROUNDUP(F7/2,0))</f>
        <v>6</v>
      </c>
      <c r="D11" s="11" t="str">
        <f t="shared" si="0"/>
        <v>6</v>
      </c>
      <c r="G11" t="s">
        <v>48</v>
      </c>
      <c r="H11" s="1">
        <v>1</v>
      </c>
      <c r="I11" t="s">
        <v>49</v>
      </c>
      <c r="J11">
        <f>F5+J10</f>
        <v>50</v>
      </c>
      <c r="K11" t="s">
        <v>149</v>
      </c>
      <c r="L11" s="1">
        <v>0</v>
      </c>
      <c r="M11" s="12" t="str">
        <f t="shared" si="1"/>
        <v>0</v>
      </c>
      <c r="R11" s="2" t="s">
        <v>50</v>
      </c>
      <c r="S11" s="2" t="str">
        <f>DEC2HEX(C44+C43*POWER(2,8)+C42*POWER(2,16)+C41*POWER(2,30),8)</f>
        <v>00020309</v>
      </c>
    </row>
    <row r="12" spans="1:21">
      <c r="A12" s="23"/>
      <c r="B12" t="s">
        <v>51</v>
      </c>
      <c r="C12">
        <f>IF(H5=0,(F7+F2/2+1+IF(H1=0,2,1)-F1),ROUNDUP((F7+F2/2+1+IF(H1=0,2,1)-F1)/2,0))</f>
        <v>4</v>
      </c>
      <c r="D12" s="11" t="str">
        <f t="shared" si="0"/>
        <v>4</v>
      </c>
      <c r="G12" t="s">
        <v>150</v>
      </c>
      <c r="H12" s="1">
        <v>0</v>
      </c>
      <c r="I12" t="s">
        <v>52</v>
      </c>
      <c r="J12">
        <f>ROUNDUP(IF(((7.5/O2)-4)&gt;0,(7.5/O2),4),0)</f>
        <v>6</v>
      </c>
      <c r="R12" s="2" t="s">
        <v>53</v>
      </c>
      <c r="S12" s="2" t="str">
        <f>DEC2HEX(C49+C47*POWER(2,8)+C46*POWER(2,16)+C48*POWER(2,2),8)</f>
        <v>000E0C00</v>
      </c>
    </row>
    <row r="13" spans="1:21">
      <c r="A13" s="23"/>
      <c r="B13" t="s">
        <v>54</v>
      </c>
      <c r="C13">
        <f>IF(H5=0,(J3+J2+F2/2+J12+IF(H1=0,1,0)),ROUNDUP((J3+J2+F2/2+J12+IF(H1=0,1,0))/2,0))</f>
        <v>11</v>
      </c>
      <c r="D13" s="11" t="str">
        <f t="shared" si="0"/>
        <v>B</v>
      </c>
      <c r="G13" t="s">
        <v>151</v>
      </c>
      <c r="H13" s="1">
        <v>1</v>
      </c>
      <c r="I13" t="s">
        <v>55</v>
      </c>
      <c r="J13">
        <v>8</v>
      </c>
      <c r="K13" t="s">
        <v>152</v>
      </c>
      <c r="L13" s="1">
        <v>0</v>
      </c>
      <c r="M13" s="12" t="str">
        <f t="shared" si="1"/>
        <v>0</v>
      </c>
      <c r="R13" s="2" t="s">
        <v>56</v>
      </c>
      <c r="S13" s="2" t="str">
        <f>DEC2HEX(C54+C53*POWER(2,8)+C52*POWER(2,16)+C51*POWER(2,24),8)</f>
        <v>0E06010E</v>
      </c>
    </row>
    <row r="14" spans="1:21">
      <c r="I14" t="s">
        <v>57</v>
      </c>
      <c r="J14">
        <f>ROUNDUP(IF(((15/O2)-24)&gt;0,(15/O2),24),0)</f>
        <v>24</v>
      </c>
      <c r="K14" t="s">
        <v>153</v>
      </c>
      <c r="L14" s="1">
        <v>0</v>
      </c>
      <c r="M14" s="12" t="str">
        <f t="shared" si="1"/>
        <v>0</v>
      </c>
      <c r="R14" s="2" t="s">
        <v>58</v>
      </c>
      <c r="S14" s="2" t="str">
        <f>DEC2HEX(C58+C57*POWER(2,16)+C56*POWER(2,24),8)</f>
        <v>0C020008</v>
      </c>
    </row>
    <row r="15" spans="1:21">
      <c r="A15" s="23" t="s">
        <v>26</v>
      </c>
      <c r="B15" s="8" t="s">
        <v>59</v>
      </c>
      <c r="C15" s="8">
        <v>5</v>
      </c>
      <c r="D15" s="13" t="str">
        <f t="shared" si="0"/>
        <v>5</v>
      </c>
      <c r="I15" t="s">
        <v>60</v>
      </c>
      <c r="J15">
        <f>IF(1,15,(IF(O1&lt;=1600,(15),(IF(O1&lt;=1866,(15),(IF(O1&lt;=2133,(15),(IF(O1&lt;=2400,(14.16),(IF(O1&lt;=2666,(14.25),(IF(O1&lt;=2933,(15),(IF(O1&lt;=3200,(15),("N/A"))))))))))))))))</f>
        <v>15</v>
      </c>
      <c r="K15" t="s">
        <v>154</v>
      </c>
      <c r="L15" s="1">
        <v>1</v>
      </c>
      <c r="M15" s="12" t="str">
        <f t="shared" si="1"/>
        <v>1</v>
      </c>
      <c r="R15" s="9" t="s">
        <v>61</v>
      </c>
      <c r="S15" s="9" t="str">
        <f>DEC2HEX(C62+C61*POWER(2,16)+C60*POWER(2,24),8)</f>
        <v>1C200004</v>
      </c>
    </row>
    <row r="16" spans="1:21">
      <c r="A16" s="23"/>
      <c r="B16" t="s">
        <v>62</v>
      </c>
      <c r="C16">
        <f>IF(H5=0,J13,ROUNDUP(J13/2,0))</f>
        <v>4</v>
      </c>
      <c r="D16" s="11" t="str">
        <f t="shared" si="0"/>
        <v>4</v>
      </c>
      <c r="I16" t="s">
        <v>63</v>
      </c>
      <c r="J16">
        <f>ROUNDUP(IF((((IF(O1&lt;=1600,(6.25),(IF(O1&lt;=1866,(5.355),(IF(O1&lt;=2400,(5),(5)))))))/O2)-4)&gt;0,((IF(O1&lt;=1600,(6.25),(IF(O1&lt;=1866,(5.355),(IF(O1&lt;=2400,(5),(5)))))))/O2),4),0)</f>
        <v>5</v>
      </c>
      <c r="K16" t="s">
        <v>155</v>
      </c>
      <c r="L16" s="14">
        <v>0</v>
      </c>
      <c r="M16" s="12" t="str">
        <f t="shared" si="1"/>
        <v>0</v>
      </c>
      <c r="R16" s="9" t="s">
        <v>64</v>
      </c>
      <c r="S16" s="9" t="str">
        <f>DEC2HEX(C64,8)</f>
        <v>000000A0</v>
      </c>
    </row>
    <row r="17" spans="1:20">
      <c r="A17" s="23"/>
      <c r="B17" t="s">
        <v>65</v>
      </c>
      <c r="C17">
        <f>IF(H5=0,J14,ROUNDUP(J14/2,0))</f>
        <v>12</v>
      </c>
      <c r="D17" s="11" t="str">
        <f t="shared" si="0"/>
        <v>C</v>
      </c>
      <c r="I17" t="s">
        <v>66</v>
      </c>
      <c r="J17">
        <f>ROUNDUP(IF(((IF(H6=2,(IF(O1&lt;=1600,(7.5),(6.4))),(IF(O1&lt;=1600,(6),(IF(O1&lt;=2133,(5.3),(4.9))))))/O2)&gt;4),(IF(H6=2,(IF(O1&lt;=1600,(7.5),(6.4))),(IF(O1&lt;=1600,(6),(IF(O1&lt;=2133,(5.3),(4.9))))))/O2),4),0)</f>
        <v>6</v>
      </c>
      <c r="K17" t="s">
        <v>156</v>
      </c>
      <c r="L17" s="14">
        <v>0</v>
      </c>
      <c r="M17" s="12" t="str">
        <f t="shared" si="1"/>
        <v>0</v>
      </c>
      <c r="R17" s="2" t="s">
        <v>67</v>
      </c>
      <c r="S17" s="2" t="str">
        <f>DEC2HEX(C68+C67*POWER(2,24)+C66*POWER(2,31),8)</f>
        <v>00000000</v>
      </c>
    </row>
    <row r="18" spans="1:20">
      <c r="I18" t="s">
        <v>68</v>
      </c>
      <c r="J18">
        <f>ROUNDUP(IF(((10/O2)-5)&gt;0,(10/O2),5),0)</f>
        <v>8</v>
      </c>
      <c r="K18" t="s">
        <v>10</v>
      </c>
      <c r="L18" s="14">
        <f>H4</f>
        <v>0</v>
      </c>
      <c r="M18" s="12" t="str">
        <f t="shared" si="1"/>
        <v>0</v>
      </c>
      <c r="R18" s="2" t="s">
        <v>137</v>
      </c>
      <c r="S18" s="2" t="str">
        <f t="shared" ref="S18:S19" si="2">DEC2HEX(C69+C68*POWER(2,24)+C67*POWER(2,31),8)</f>
        <v>00000000</v>
      </c>
    </row>
    <row r="19" spans="1:20">
      <c r="A19" s="23" t="s">
        <v>31</v>
      </c>
      <c r="B19" t="s">
        <v>69</v>
      </c>
      <c r="C19">
        <f>IF(H5=0,IF((ROUNDUP(J15/O2,0)-J1)&gt;0,ROUNDUP(J15/O2,0),J1),ROUNDUP(IF((ROUNDUP(J15/O2,0)-J1)&gt;0,ROUNDUP(J15/O2,0),J1)/2,0))</f>
        <v>6</v>
      </c>
      <c r="D19" s="11" t="str">
        <f t="shared" si="0"/>
        <v>6</v>
      </c>
      <c r="I19" t="s">
        <v>70</v>
      </c>
      <c r="J19">
        <f>ROUNDUP(IF(((10/O2)-5)&gt;0,(10/O2),5),0)</f>
        <v>8</v>
      </c>
      <c r="K19" t="s">
        <v>157</v>
      </c>
      <c r="L19" s="14">
        <v>1</v>
      </c>
      <c r="M19" s="12" t="str">
        <f t="shared" si="1"/>
        <v>1</v>
      </c>
      <c r="R19" s="9" t="s">
        <v>138</v>
      </c>
      <c r="S19" s="9" t="str">
        <f t="shared" si="2"/>
        <v>00000000</v>
      </c>
    </row>
    <row r="20" spans="1:20">
      <c r="A20" s="23"/>
      <c r="B20" t="s">
        <v>71</v>
      </c>
      <c r="C20">
        <f>IF(H5=0,J16,ROUNDUP(J16/2,0))</f>
        <v>3</v>
      </c>
      <c r="D20" s="11" t="str">
        <f t="shared" si="0"/>
        <v>3</v>
      </c>
      <c r="I20" t="s">
        <v>72</v>
      </c>
      <c r="J20">
        <f>ROUNDUP(IF(((5/O2)-3)&gt;0,(5/O2),3),0)</f>
        <v>4</v>
      </c>
      <c r="K20" t="s">
        <v>158</v>
      </c>
      <c r="L20" s="1">
        <v>1</v>
      </c>
      <c r="M20" s="12" t="str">
        <f t="shared" si="1"/>
        <v>1</v>
      </c>
      <c r="Q20" s="15"/>
      <c r="R20" s="16"/>
      <c r="S20" s="16"/>
      <c r="T20" s="15"/>
    </row>
    <row r="21" spans="1:20">
      <c r="A21" s="23"/>
      <c r="B21" t="s">
        <v>73</v>
      </c>
      <c r="C21">
        <f>IF(H5=0,J17,ROUNDUP(J17/2,0))</f>
        <v>3</v>
      </c>
      <c r="D21" s="11" t="str">
        <f t="shared" si="0"/>
        <v>3</v>
      </c>
      <c r="I21" t="s">
        <v>74</v>
      </c>
      <c r="J21">
        <f>J20+1</f>
        <v>5</v>
      </c>
    </row>
    <row r="22" spans="1:20">
      <c r="A22" s="23"/>
      <c r="B22" t="s">
        <v>75</v>
      </c>
      <c r="C22">
        <f>IF(H5=0,ROUNDUP(J10/O2,0),ROUNDUP(ROUNDUP(J10/O2,0)/2,0)+1)</f>
        <v>7</v>
      </c>
      <c r="D22" s="11" t="str">
        <f t="shared" si="0"/>
        <v>7</v>
      </c>
      <c r="I22" t="s">
        <v>76</v>
      </c>
      <c r="J22">
        <f>H9+10</f>
        <v>120</v>
      </c>
      <c r="K22" t="s">
        <v>159</v>
      </c>
      <c r="L22" s="1">
        <v>0</v>
      </c>
      <c r="M22" s="12" t="str">
        <f t="shared" si="1"/>
        <v>0</v>
      </c>
    </row>
    <row r="23" spans="1:20">
      <c r="I23" t="s">
        <v>77</v>
      </c>
      <c r="J23">
        <f>H9+10</f>
        <v>120</v>
      </c>
      <c r="K23" t="s">
        <v>160</v>
      </c>
      <c r="L23">
        <v>4</v>
      </c>
      <c r="M23" s="12" t="str">
        <f t="shared" si="1"/>
        <v>4</v>
      </c>
    </row>
    <row r="24" spans="1:20">
      <c r="A24" s="23" t="s">
        <v>35</v>
      </c>
      <c r="B24" t="s">
        <v>78</v>
      </c>
      <c r="C24">
        <f>IF(H5=0,J18,ROUNDUP(J18/2,0))</f>
        <v>4</v>
      </c>
      <c r="D24" s="11" t="str">
        <f t="shared" si="0"/>
        <v>4</v>
      </c>
      <c r="I24" t="s">
        <v>79</v>
      </c>
      <c r="J24">
        <f>J26</f>
        <v>597</v>
      </c>
      <c r="K24" t="s">
        <v>161</v>
      </c>
      <c r="L24" s="1">
        <v>0</v>
      </c>
      <c r="M24" s="12" t="str">
        <f t="shared" si="1"/>
        <v>0</v>
      </c>
      <c r="R24" t="s">
        <v>162</v>
      </c>
    </row>
    <row r="25" spans="1:20">
      <c r="A25" s="23"/>
      <c r="B25" t="s">
        <v>80</v>
      </c>
      <c r="C25">
        <f>IF(H5=0,J19+J2,ROUNDUP((J19+J2)/2,0))</f>
        <v>4</v>
      </c>
      <c r="D25" s="11" t="str">
        <f t="shared" si="0"/>
        <v>4</v>
      </c>
      <c r="I25" t="s">
        <v>81</v>
      </c>
      <c r="J25">
        <f>H10+10</f>
        <v>270</v>
      </c>
      <c r="K25" t="s">
        <v>163</v>
      </c>
      <c r="L25">
        <f>IF(J3=9,0,IF(J3=10,1,IF(J3=11,2,IF(J3=12,3,IF(J3=14,4,IF(J3=16,5,IF(J3=18,6,IF(J3=20,7,))))))))</f>
        <v>2</v>
      </c>
      <c r="M25" s="12" t="str">
        <f t="shared" si="1"/>
        <v>2</v>
      </c>
      <c r="R25" t="s">
        <v>164</v>
      </c>
    </row>
    <row r="26" spans="1:20">
      <c r="A26" s="23"/>
      <c r="B26" t="s">
        <v>82</v>
      </c>
      <c r="C26">
        <f>IF(H5=0,J21+J2,ROUNDUP((J21+J2)/2,0))</f>
        <v>3</v>
      </c>
      <c r="D26" s="11" t="str">
        <f t="shared" si="0"/>
        <v>3</v>
      </c>
      <c r="I26" t="s">
        <v>83</v>
      </c>
      <c r="J26">
        <f>(IF(O1&lt;=1600,(597),(IF(O1&lt;=1866,(597),(IF(O1&lt;=2133,(768),(IF(O1&lt;=2400,(768),(IF(O1&lt;=2666,(854),(IF(O1&lt;=2933,(940),(IF(O1&lt;=3200,(1024),("N/A")))))))))))))))</f>
        <v>597</v>
      </c>
      <c r="R26" t="s">
        <v>165</v>
      </c>
    </row>
    <row r="27" spans="1:20">
      <c r="A27" s="23"/>
      <c r="B27" t="s">
        <v>84</v>
      </c>
      <c r="C27">
        <f>IF(H5=0,J20,ROUNDUP(J20/2,0))</f>
        <v>2</v>
      </c>
      <c r="D27" s="11" t="str">
        <f t="shared" si="0"/>
        <v>2</v>
      </c>
      <c r="I27" s="10" t="s">
        <v>85</v>
      </c>
      <c r="J27">
        <v>4</v>
      </c>
      <c r="K27" t="s">
        <v>166</v>
      </c>
      <c r="L27" s="1">
        <v>0</v>
      </c>
      <c r="M27" s="12" t="str">
        <f t="shared" si="1"/>
        <v>0</v>
      </c>
      <c r="R27" t="s">
        <v>167</v>
      </c>
    </row>
    <row r="28" spans="1:20">
      <c r="F28" t="s">
        <v>86</v>
      </c>
      <c r="I28" t="s">
        <v>87</v>
      </c>
      <c r="J28" s="3">
        <f>IF(ROUNDUP(IF(H6=2,(IF(O1&lt;=1600,(6),(IF(O1&lt;=3200,(5.3),("N/A"))))),(IF(O1&lt;=1600,(5),(IF(O1&lt;=1866,(4.2),(IF(O1&lt;=2133,(3.7),(IF(O1&lt;=2400,(3.3),(IF(O1&lt;=2666,(3),(IF(O1&lt;=2933,(2.7),(IF(O1&lt;=3200,(2.5),("N/A"))))))))))))))))/O2,0)-4&gt;0,ROUNDUP(IF(H6=2,(IF(O1&lt;=1600,(6),(IF(O1&lt;=3200,(5.3),("N/A"))))),(IF(O1&lt;=1600,(5),(IF(O1&lt;=1866,(4.2),(IF(O1&lt;=2133,(3.7),(IF(O1&lt;=2400,(3.3),(IF(O1&lt;=2666,(3),(IF(O1&lt;=2933,(2.7),(IF(O1&lt;=3200,(2.5),("N/A"))))))))))))))))/O2,0),4)</f>
        <v>5</v>
      </c>
      <c r="K28" t="s">
        <v>168</v>
      </c>
      <c r="L28">
        <f>(IF(O1&lt;=1600,(0),(IF(O1&lt;=2666,(1),(IF(O1&lt;=3200,(2),("N/A")))))))</f>
        <v>0</v>
      </c>
      <c r="M28" s="12" t="str">
        <f t="shared" si="1"/>
        <v>0</v>
      </c>
    </row>
    <row r="29" spans="1:20">
      <c r="A29" s="23" t="s">
        <v>39</v>
      </c>
      <c r="B29" s="8" t="s">
        <v>88</v>
      </c>
      <c r="C29" s="8">
        <v>2</v>
      </c>
      <c r="D29" s="13" t="str">
        <f t="shared" si="0"/>
        <v>2</v>
      </c>
      <c r="I29" t="s">
        <v>89</v>
      </c>
      <c r="J29">
        <f>ROUNDUP(IF(((2.5/O2)-2)&gt;0,(2.5/O2),2),0)+IF(H1=0,1,0)</f>
        <v>2</v>
      </c>
      <c r="K29" t="s">
        <v>169</v>
      </c>
      <c r="L29" s="1">
        <v>0</v>
      </c>
      <c r="M29" s="12" t="str">
        <f t="shared" si="1"/>
        <v>0</v>
      </c>
    </row>
    <row r="30" spans="1:20">
      <c r="A30" s="23"/>
      <c r="B30" s="8" t="s">
        <v>90</v>
      </c>
      <c r="C30" s="8">
        <v>2</v>
      </c>
      <c r="D30" s="13" t="str">
        <f t="shared" si="0"/>
        <v>2</v>
      </c>
      <c r="I30" t="s">
        <v>91</v>
      </c>
      <c r="J30" t="str">
        <f>(IF(O1&lt;=2400,("0"),(IF(O1&lt;=3200,(2),("N/A")))))</f>
        <v>0</v>
      </c>
      <c r="K30" t="s">
        <v>170</v>
      </c>
      <c r="L30" s="1">
        <v>0</v>
      </c>
      <c r="M30" s="12" t="str">
        <f t="shared" si="1"/>
        <v>0</v>
      </c>
      <c r="R30" s="17" t="s">
        <v>171</v>
      </c>
      <c r="S30" s="17" t="str">
        <f>DEC2HEX(L11+L10*POWER(2,3)+(INT(MOD(L9,16)/2))*POWER(2,4)+(MOD(L9,2))*POWER(2,2)+(INT(L9/16))*POWER(2,12)+L8*POWER(2,7)+L7*POWER(2,8)+L6*POWER(2,9)+L5*POWER(2,13),4)</f>
        <v>0214</v>
      </c>
    </row>
    <row r="31" spans="1:20">
      <c r="A31" s="23"/>
      <c r="B31" s="8" t="s">
        <v>92</v>
      </c>
      <c r="C31" s="8">
        <v>5</v>
      </c>
      <c r="D31" s="13" t="str">
        <f t="shared" si="0"/>
        <v>5</v>
      </c>
      <c r="I31" t="s">
        <v>93</v>
      </c>
      <c r="J31" t="str">
        <f>(IF(O1&lt;=2400,("0"),(IF(O1&lt;=3200,(2),("N/A")))))</f>
        <v>0</v>
      </c>
      <c r="K31" t="s">
        <v>172</v>
      </c>
      <c r="L31" s="1">
        <v>0</v>
      </c>
      <c r="M31" s="12" t="str">
        <f t="shared" si="1"/>
        <v>0</v>
      </c>
      <c r="R31" s="17" t="s">
        <v>173</v>
      </c>
      <c r="S31" s="17" t="str">
        <f>DEC2HEX(L20+L19*POWER(2,1)+L18*POWER(2,3)+L15*POWER(2,8)+L14*POWER(2,11)+L13*POWER(2,12),4)</f>
        <v>0103</v>
      </c>
    </row>
    <row r="32" spans="1:20">
      <c r="I32" t="s">
        <v>94</v>
      </c>
      <c r="J32">
        <f>J25+J24</f>
        <v>867</v>
      </c>
      <c r="K32" t="s">
        <v>174</v>
      </c>
      <c r="L32" s="1">
        <v>0</v>
      </c>
      <c r="M32" s="12" t="str">
        <f t="shared" si="1"/>
        <v>0</v>
      </c>
      <c r="R32" s="17" t="s">
        <v>175</v>
      </c>
      <c r="S32" s="17" t="str">
        <f>DEC2HEX(L25*POWER(2,3)+L24*POWER(2,6)+L23*POWER(2,9)+L22*POWER(2,12),4)</f>
        <v>0810</v>
      </c>
    </row>
    <row r="33" spans="1:19">
      <c r="A33" s="23" t="s">
        <v>42</v>
      </c>
      <c r="B33" s="8" t="s">
        <v>95</v>
      </c>
      <c r="C33" s="8">
        <f>C25</f>
        <v>4</v>
      </c>
      <c r="D33" s="13" t="str">
        <f t="shared" si="0"/>
        <v>4</v>
      </c>
      <c r="I33" t="s">
        <v>176</v>
      </c>
      <c r="J33">
        <f>J25*O2-10</f>
        <v>327.5</v>
      </c>
      <c r="K33" t="s">
        <v>177</v>
      </c>
      <c r="L33" s="1">
        <v>0</v>
      </c>
      <c r="M33" s="12" t="str">
        <f t="shared" si="1"/>
        <v>0</v>
      </c>
      <c r="R33" s="17" t="s">
        <v>178</v>
      </c>
      <c r="S33" s="17" t="str">
        <f>DEC2HEX(L34+L33*POWER(2,2)+L32*POWER(2,3)+L31*POWER(2,4)+L30*POWER(2,5)+L29*POWER(2,6)+L28*POWER(2,9)+L27*POWER(2,11),4)</f>
        <v>0000</v>
      </c>
    </row>
    <row r="34" spans="1:19">
      <c r="A34" s="23"/>
      <c r="B34" s="8" t="s">
        <v>97</v>
      </c>
      <c r="C34" s="8">
        <f>C24</f>
        <v>4</v>
      </c>
      <c r="D34" s="13" t="str">
        <f t="shared" si="0"/>
        <v>4</v>
      </c>
      <c r="I34" t="s">
        <v>98</v>
      </c>
      <c r="J34">
        <f>(IF(O1&lt;=1600,(115),(IF(O1&lt;=1866,(100),(IF(O1&lt;=2133,(80),(IF(O1&lt;=2400,(62),(IF(O1&lt;=2666,(55),(IF(O1&lt;=2933,(48),(IF(O1&lt;=3200,(40),("N/A")))))))))))))))</f>
        <v>115</v>
      </c>
      <c r="K34" t="s">
        <v>179</v>
      </c>
      <c r="L34" s="1">
        <v>0</v>
      </c>
      <c r="M34" s="12" t="str">
        <f t="shared" si="1"/>
        <v>0</v>
      </c>
      <c r="R34" s="17" t="s">
        <v>180</v>
      </c>
      <c r="S34" s="17" t="str">
        <f>DEC2HEX(L46*POWER(2,1)+L45*POWER(2,2)+L44*POWER(2,3)+L43*POWER(2,4)+L42*POWER(2,5)+L41*POWER(2,6)+L40*POWER(2,9)+L39*POWER(2,10)+L38*POWER(2,11)+L37*POWER(2,12)+L36*POWER(2,13),4)</f>
        <v>0000</v>
      </c>
    </row>
    <row r="35" spans="1:19">
      <c r="I35" t="s">
        <v>99</v>
      </c>
      <c r="J35">
        <f>(IF(O1&lt;=1600,(140),(IF(O1&lt;=1866,(125),(IF(O1&lt;=2133,(105),(IF(O1&lt;=2400,(87),(IF(O1&lt;=2666,(80),(IF(O1&lt;=2933,(73),(IF(O1&lt;=3200,(65),("N/A")))))))))))))))</f>
        <v>140</v>
      </c>
      <c r="R35" s="17" t="s">
        <v>181</v>
      </c>
      <c r="S35" s="17" t="str">
        <f>DEC2HEX(L56+L55*POWER(2,3)+L54*POWER(2,4)+L53*POWER(2,5)+L52*POWER(2,6)+L51*POWER(2,9)+L50*POWER(2,10)+L49*POWER(2,11)+L48*POWER(2,12),4)</f>
        <v>0480</v>
      </c>
    </row>
    <row r="36" spans="1:19">
      <c r="A36" s="23" t="s">
        <v>46</v>
      </c>
      <c r="B36" t="s">
        <v>100</v>
      </c>
      <c r="C36">
        <f>IF(C39-IF(H5=0,ROUNDUP(J22/O2/32,0),ROUNDUP(J22/O2/32/2,0))&gt;0,IF(H5=0,ROUNDUP(J22/O2/32,0),ROUNDUP(J22/O2/32/2,0)),C39)</f>
        <v>2</v>
      </c>
      <c r="D36" s="11" t="str">
        <f t="shared" si="0"/>
        <v>2</v>
      </c>
      <c r="I36" t="s">
        <v>101</v>
      </c>
      <c r="J36">
        <f>(J34+J35)/1000</f>
        <v>0.255</v>
      </c>
      <c r="K36" t="s">
        <v>182</v>
      </c>
      <c r="L36" s="1">
        <v>0</v>
      </c>
      <c r="M36" s="12" t="str">
        <f t="shared" si="1"/>
        <v>0</v>
      </c>
      <c r="R36" s="17" t="s">
        <v>183</v>
      </c>
      <c r="S36" s="17" t="str">
        <f>DEC2HEX(L61+L60*POWER(2,6)+L59*POWER(2,7)+L58*POWER(2,10),4)</f>
        <v>041B</v>
      </c>
    </row>
    <row r="37" spans="1:19">
      <c r="A37" s="23"/>
      <c r="B37" t="s">
        <v>102</v>
      </c>
      <c r="C37">
        <f>IF(H5=0,J23/O2/32,ROUNDUP(J23/O2/32/2,0))</f>
        <v>2</v>
      </c>
      <c r="D37" s="11" t="str">
        <f t="shared" si="0"/>
        <v>2</v>
      </c>
      <c r="I37" t="s">
        <v>103</v>
      </c>
      <c r="J37">
        <v>4</v>
      </c>
      <c r="K37" t="s">
        <v>184</v>
      </c>
      <c r="L37">
        <f>IF(H1=0,1,0)</f>
        <v>0</v>
      </c>
      <c r="M37" s="12" t="str">
        <f t="shared" si="1"/>
        <v>0</v>
      </c>
    </row>
    <row r="38" spans="1:19">
      <c r="A38" s="23"/>
      <c r="B38" t="s">
        <v>104</v>
      </c>
      <c r="C38">
        <f>IF(H5=0,J24/32,ROUNDUP(J24/32/2,0))</f>
        <v>10</v>
      </c>
      <c r="D38" s="11" t="str">
        <f t="shared" si="0"/>
        <v>A</v>
      </c>
      <c r="I38" t="s">
        <v>105</v>
      </c>
      <c r="J38">
        <f>J14+J37</f>
        <v>28</v>
      </c>
      <c r="K38" t="s">
        <v>185</v>
      </c>
      <c r="L38">
        <f>IF(H11=0,1,0)</f>
        <v>0</v>
      </c>
      <c r="M38" s="12" t="str">
        <f t="shared" si="1"/>
        <v>0</v>
      </c>
    </row>
    <row r="39" spans="1:19">
      <c r="A39" s="23"/>
      <c r="B39" t="s">
        <v>106</v>
      </c>
      <c r="C39">
        <f>IF(H5=0,J25/32,ROUNDUP(J25/32/2,0))</f>
        <v>5</v>
      </c>
      <c r="D39" s="11" t="str">
        <f t="shared" si="0"/>
        <v>5</v>
      </c>
      <c r="I39" t="s">
        <v>107</v>
      </c>
      <c r="J39">
        <f>J14+J1+J2</f>
        <v>24</v>
      </c>
      <c r="K39" t="s">
        <v>186</v>
      </c>
      <c r="L39">
        <v>0</v>
      </c>
      <c r="M39" s="12" t="str">
        <f t="shared" si="1"/>
        <v>0</v>
      </c>
    </row>
    <row r="40" spans="1:19">
      <c r="I40" t="s">
        <v>108</v>
      </c>
      <c r="J40">
        <f>ROUNDUP(IF(((10/O2)-16)&gt;0,(10/O2),16),0)</f>
        <v>16</v>
      </c>
      <c r="K40" t="s">
        <v>187</v>
      </c>
      <c r="L40" s="1">
        <v>0</v>
      </c>
      <c r="M40" s="12" t="str">
        <f t="shared" si="1"/>
        <v>0</v>
      </c>
    </row>
    <row r="41" spans="1:19">
      <c r="A41" s="23" t="s">
        <v>50</v>
      </c>
      <c r="B41" t="s">
        <v>109</v>
      </c>
      <c r="C41">
        <f>IF(H1=0,1,0)</f>
        <v>0</v>
      </c>
      <c r="D41" s="11" t="str">
        <f t="shared" si="0"/>
        <v>0</v>
      </c>
      <c r="I41" t="s">
        <v>188</v>
      </c>
      <c r="J41">
        <v>12</v>
      </c>
      <c r="K41" t="s">
        <v>189</v>
      </c>
      <c r="L41" s="1">
        <v>0</v>
      </c>
      <c r="M41" s="12" t="str">
        <f t="shared" si="1"/>
        <v>0</v>
      </c>
    </row>
    <row r="42" spans="1:19">
      <c r="A42" s="23"/>
      <c r="B42" t="s">
        <v>110</v>
      </c>
      <c r="C42">
        <f>IF(H5=0,J27,ROUNDUP(J27/2,0))</f>
        <v>2</v>
      </c>
      <c r="D42" s="11" t="str">
        <f t="shared" si="0"/>
        <v>2</v>
      </c>
      <c r="K42" t="s">
        <v>190</v>
      </c>
      <c r="L42" s="1">
        <v>0</v>
      </c>
      <c r="M42" s="12" t="str">
        <f t="shared" si="1"/>
        <v>0</v>
      </c>
    </row>
    <row r="43" spans="1:19">
      <c r="A43" s="23"/>
      <c r="B43" t="s">
        <v>111</v>
      </c>
      <c r="C43">
        <f>IF(H5=0,J28,ROUNDUP(J28/2,0))</f>
        <v>3</v>
      </c>
      <c r="D43" s="11" t="str">
        <f t="shared" si="0"/>
        <v>3</v>
      </c>
      <c r="K43" t="s">
        <v>191</v>
      </c>
      <c r="L43" s="1">
        <v>0</v>
      </c>
      <c r="M43" s="12" t="str">
        <f t="shared" si="1"/>
        <v>0</v>
      </c>
    </row>
    <row r="44" spans="1:19">
      <c r="A44" s="23"/>
      <c r="B44" t="s">
        <v>112</v>
      </c>
      <c r="C44">
        <f>IF(H5=0,(J3+J2+F2/2+J29),ROUNDUP((J3+J2+F2/2+J29)/2,0))</f>
        <v>9</v>
      </c>
      <c r="D44" s="11" t="str">
        <f t="shared" si="0"/>
        <v>9</v>
      </c>
      <c r="K44" t="s">
        <v>192</v>
      </c>
      <c r="L44" s="1">
        <v>0</v>
      </c>
      <c r="M44" s="12" t="str">
        <f t="shared" si="1"/>
        <v>0</v>
      </c>
    </row>
    <row r="45" spans="1:19">
      <c r="K45" t="s">
        <v>193</v>
      </c>
      <c r="L45" s="1">
        <v>0</v>
      </c>
      <c r="M45" s="12" t="str">
        <f t="shared" si="1"/>
        <v>0</v>
      </c>
    </row>
    <row r="46" spans="1:19">
      <c r="A46" s="23" t="s">
        <v>53</v>
      </c>
      <c r="B46" t="s">
        <v>113</v>
      </c>
      <c r="C46">
        <f>IF(H5=0,(J14+4),ROUNDUP((J14+4)/2,0))</f>
        <v>14</v>
      </c>
      <c r="D46" s="11" t="str">
        <f t="shared" si="0"/>
        <v>E</v>
      </c>
      <c r="K46" t="s">
        <v>194</v>
      </c>
      <c r="L46" s="1">
        <v>0</v>
      </c>
      <c r="M46" s="12" t="str">
        <f t="shared" si="1"/>
        <v>0</v>
      </c>
    </row>
    <row r="47" spans="1:19">
      <c r="A47" s="23"/>
      <c r="B47" t="s">
        <v>114</v>
      </c>
      <c r="C47">
        <f>IF(H5=0,(J14),ROUNDUP((J14)/2,0))</f>
        <v>12</v>
      </c>
      <c r="D47" s="11" t="str">
        <f t="shared" si="0"/>
        <v>C</v>
      </c>
    </row>
    <row r="48" spans="1:19">
      <c r="A48" s="23"/>
      <c r="B48" t="s">
        <v>115</v>
      </c>
      <c r="C48">
        <f>IF(H5=0,(J30),ROUNDUP((J30)/2,0))</f>
        <v>0</v>
      </c>
      <c r="D48" s="11" t="str">
        <f t="shared" si="0"/>
        <v>0</v>
      </c>
      <c r="K48" t="s">
        <v>195</v>
      </c>
      <c r="L48">
        <f>H3</f>
        <v>0</v>
      </c>
      <c r="M48" s="12" t="str">
        <f t="shared" si="1"/>
        <v>0</v>
      </c>
    </row>
    <row r="49" spans="1:13">
      <c r="A49" s="23"/>
      <c r="B49" t="s">
        <v>116</v>
      </c>
      <c r="C49">
        <f>IF(H5=0,(J31),ROUNDUP((J31)/2,0))</f>
        <v>0</v>
      </c>
      <c r="D49" s="11" t="str">
        <f t="shared" si="0"/>
        <v>0</v>
      </c>
      <c r="K49" t="s">
        <v>196</v>
      </c>
      <c r="L49">
        <f>H12</f>
        <v>0</v>
      </c>
      <c r="M49" s="12" t="str">
        <f t="shared" si="1"/>
        <v>0</v>
      </c>
    </row>
    <row r="50" spans="1:13">
      <c r="K50" t="s">
        <v>197</v>
      </c>
      <c r="L50" s="1">
        <v>1</v>
      </c>
      <c r="M50" s="12" t="str">
        <f t="shared" si="1"/>
        <v>1</v>
      </c>
    </row>
    <row r="51" spans="1:13">
      <c r="A51" s="23" t="s">
        <v>56</v>
      </c>
      <c r="B51" t="s">
        <v>117</v>
      </c>
      <c r="C51">
        <f>IF(H5=0,ROUNDUP(J32/32,0),ROUNDUP(ROUNDUP(J32/2,0)/32,0))</f>
        <v>14</v>
      </c>
      <c r="D51" s="11" t="str">
        <f t="shared" si="0"/>
        <v>E</v>
      </c>
      <c r="K51" t="s">
        <v>198</v>
      </c>
      <c r="L51" s="1">
        <v>0</v>
      </c>
      <c r="M51" s="12" t="str">
        <f t="shared" si="1"/>
        <v>0</v>
      </c>
    </row>
    <row r="52" spans="1:13">
      <c r="A52" s="23"/>
      <c r="B52" t="s">
        <v>118</v>
      </c>
      <c r="C52" s="18">
        <f>IF(H5=0,ROUNDUP(J41/O2,0),ROUNDUP(ROUNDUP(J41/O2,0)/2,0)+1)</f>
        <v>6</v>
      </c>
      <c r="D52" s="11" t="str">
        <f t="shared" si="0"/>
        <v>6</v>
      </c>
      <c r="K52" t="s">
        <v>199</v>
      </c>
      <c r="L52" s="1">
        <v>2</v>
      </c>
      <c r="M52" s="12" t="str">
        <f t="shared" si="1"/>
        <v>2</v>
      </c>
    </row>
    <row r="53" spans="1:13">
      <c r="A53" s="23"/>
      <c r="B53" t="s">
        <v>119</v>
      </c>
      <c r="C53">
        <f>IF(H5=0,ROUNDUP(J36/O2,0),ROUNDUP(ROUNDUP(J36/O2,0)/2,0))</f>
        <v>1</v>
      </c>
      <c r="D53" s="11" t="str">
        <f t="shared" si="0"/>
        <v>1</v>
      </c>
      <c r="K53" t="s">
        <v>200</v>
      </c>
      <c r="L53" s="1">
        <v>0</v>
      </c>
      <c r="M53" s="12" t="str">
        <f t="shared" si="1"/>
        <v>0</v>
      </c>
    </row>
    <row r="54" spans="1:13">
      <c r="A54" s="23"/>
      <c r="B54" t="s">
        <v>120</v>
      </c>
      <c r="C54">
        <f>IF(H5=0,J38,ROUNDUP(J38/2,0))</f>
        <v>14</v>
      </c>
      <c r="D54" s="11" t="str">
        <f t="shared" si="0"/>
        <v>E</v>
      </c>
      <c r="K54" t="s">
        <v>201</v>
      </c>
      <c r="L54">
        <v>0</v>
      </c>
      <c r="M54" s="12" t="str">
        <f t="shared" si="1"/>
        <v>0</v>
      </c>
    </row>
    <row r="55" spans="1:13">
      <c r="K55" t="s">
        <v>202</v>
      </c>
      <c r="L55">
        <v>0</v>
      </c>
      <c r="M55" s="12" t="str">
        <f t="shared" si="1"/>
        <v>0</v>
      </c>
    </row>
    <row r="56" spans="1:13">
      <c r="A56" s="23" t="s">
        <v>58</v>
      </c>
      <c r="B56" t="s">
        <v>121</v>
      </c>
      <c r="C56">
        <f>IF(H5=0,(J14+J1+J2),ROUNDUP((J14+J1+J2)/2,0))</f>
        <v>12</v>
      </c>
      <c r="D56" s="11" t="str">
        <f t="shared" si="0"/>
        <v>C</v>
      </c>
      <c r="K56" t="s">
        <v>4</v>
      </c>
      <c r="L56">
        <f>IF(H2=0,0,IF(O1&lt;=2133,1,IF(O1&lt;=2666,2,IF(O1&lt;=3200,3,"N/A"))))</f>
        <v>0</v>
      </c>
      <c r="M56" s="12" t="str">
        <f t="shared" si="1"/>
        <v>0</v>
      </c>
    </row>
    <row r="57" spans="1:13">
      <c r="A57" s="23"/>
      <c r="B57" s="8" t="s">
        <v>122</v>
      </c>
      <c r="C57" s="8">
        <v>2</v>
      </c>
      <c r="D57" s="13" t="str">
        <f t="shared" si="0"/>
        <v>2</v>
      </c>
    </row>
    <row r="58" spans="1:13">
      <c r="A58" s="23"/>
      <c r="B58" t="s">
        <v>123</v>
      </c>
      <c r="C58">
        <f>IF(H5=0,J40,ROUNDUP(J40/2,0))</f>
        <v>8</v>
      </c>
      <c r="D58" s="11" t="str">
        <f t="shared" si="0"/>
        <v>8</v>
      </c>
      <c r="K58" t="s">
        <v>203</v>
      </c>
      <c r="L58">
        <f>IF(J16=4,0,IF(J16=5,1,IF(J16=6,2,IF(J16=7,3,IF(J16=8,4,"N/A")))))</f>
        <v>1</v>
      </c>
      <c r="M58" s="12" t="str">
        <f t="shared" si="1"/>
        <v>1</v>
      </c>
    </row>
    <row r="59" spans="1:13">
      <c r="K59" t="s">
        <v>204</v>
      </c>
      <c r="L59" s="1">
        <v>0</v>
      </c>
      <c r="M59" s="12" t="str">
        <f t="shared" si="1"/>
        <v>0</v>
      </c>
    </row>
    <row r="60" spans="1:13">
      <c r="A60" s="23" t="s">
        <v>61</v>
      </c>
      <c r="B60" s="8" t="s">
        <v>124</v>
      </c>
      <c r="C60" s="8">
        <v>28</v>
      </c>
      <c r="D60" s="13" t="str">
        <f t="shared" si="0"/>
        <v>1C</v>
      </c>
      <c r="K60" t="s">
        <v>205</v>
      </c>
      <c r="L60" s="1">
        <v>0</v>
      </c>
      <c r="M60" s="12" t="str">
        <f t="shared" si="1"/>
        <v>0</v>
      </c>
    </row>
    <row r="61" spans="1:13">
      <c r="A61" s="23"/>
      <c r="B61" s="8" t="s">
        <v>125</v>
      </c>
      <c r="C61" s="8">
        <v>32</v>
      </c>
      <c r="D61" s="13" t="str">
        <f t="shared" si="0"/>
        <v>20</v>
      </c>
      <c r="K61" t="s">
        <v>206</v>
      </c>
      <c r="L61" s="1">
        <v>27</v>
      </c>
      <c r="M61" s="12" t="str">
        <f t="shared" si="1"/>
        <v>1B</v>
      </c>
    </row>
    <row r="62" spans="1:13">
      <c r="A62" s="23"/>
      <c r="B62" s="8" t="s">
        <v>126</v>
      </c>
      <c r="C62" s="8">
        <v>4</v>
      </c>
      <c r="D62" s="13" t="str">
        <f t="shared" si="0"/>
        <v>4</v>
      </c>
    </row>
    <row r="63" spans="1:13">
      <c r="B63" s="8"/>
      <c r="C63" s="8"/>
      <c r="D63" s="13"/>
    </row>
    <row r="64" spans="1:13">
      <c r="A64" t="s">
        <v>64</v>
      </c>
      <c r="B64" s="8" t="s">
        <v>127</v>
      </c>
      <c r="C64" s="8">
        <v>160</v>
      </c>
      <c r="D64" s="13" t="str">
        <f t="shared" si="0"/>
        <v>A0</v>
      </c>
    </row>
    <row r="66" spans="1:4">
      <c r="A66" s="23" t="s">
        <v>67</v>
      </c>
      <c r="B66" t="s">
        <v>128</v>
      </c>
      <c r="D66" s="11" t="str">
        <f t="shared" ref="D66:D76" si="3">DEC2HEX(C66)</f>
        <v>0</v>
      </c>
    </row>
    <row r="67" spans="1:4">
      <c r="A67" s="23"/>
      <c r="B67" t="s">
        <v>129</v>
      </c>
      <c r="D67" s="11" t="str">
        <f t="shared" si="3"/>
        <v>0</v>
      </c>
    </row>
    <row r="68" spans="1:4">
      <c r="A68" s="23"/>
      <c r="B68" t="s">
        <v>130</v>
      </c>
      <c r="D68" s="11" t="str">
        <f t="shared" si="3"/>
        <v>0</v>
      </c>
    </row>
    <row r="70" spans="1:4">
      <c r="A70" s="23" t="s">
        <v>137</v>
      </c>
      <c r="B70" t="s">
        <v>131</v>
      </c>
      <c r="D70" s="11" t="str">
        <f t="shared" si="3"/>
        <v>0</v>
      </c>
    </row>
    <row r="71" spans="1:4">
      <c r="A71" s="23"/>
      <c r="B71" t="s">
        <v>132</v>
      </c>
      <c r="D71" s="11" t="str">
        <f t="shared" si="3"/>
        <v>0</v>
      </c>
    </row>
    <row r="72" spans="1:4">
      <c r="A72" s="23"/>
      <c r="B72" t="s">
        <v>133</v>
      </c>
      <c r="D72" s="11" t="str">
        <f t="shared" si="3"/>
        <v>0</v>
      </c>
    </row>
    <row r="73" spans="1:4">
      <c r="A73" s="23"/>
      <c r="B73" t="s">
        <v>134</v>
      </c>
      <c r="D73" s="11" t="str">
        <f t="shared" si="3"/>
        <v>0</v>
      </c>
    </row>
    <row r="75" spans="1:4">
      <c r="A75" s="23" t="s">
        <v>138</v>
      </c>
      <c r="B75" s="8" t="s">
        <v>135</v>
      </c>
      <c r="C75" s="8">
        <v>0</v>
      </c>
      <c r="D75" s="13" t="str">
        <f t="shared" si="3"/>
        <v>0</v>
      </c>
    </row>
    <row r="76" spans="1:4">
      <c r="A76" s="23"/>
      <c r="B76" s="8" t="s">
        <v>136</v>
      </c>
      <c r="C76" s="8">
        <v>0</v>
      </c>
      <c r="D76" s="13" t="str">
        <f t="shared" si="3"/>
        <v>0</v>
      </c>
    </row>
    <row r="78" spans="1:4">
      <c r="B78" s="7" t="s">
        <v>207</v>
      </c>
      <c r="C78">
        <v>7</v>
      </c>
    </row>
    <row r="79" spans="1:4" ht="25.5">
      <c r="B79" s="7" t="s">
        <v>208</v>
      </c>
      <c r="C79">
        <v>0</v>
      </c>
    </row>
    <row r="80" spans="1:4">
      <c r="B80" s="7" t="s">
        <v>209</v>
      </c>
    </row>
    <row r="81" spans="2:2" ht="25.5">
      <c r="B81" s="7" t="s">
        <v>210</v>
      </c>
    </row>
    <row r="82" spans="2:2">
      <c r="B82" s="7" t="s">
        <v>211</v>
      </c>
    </row>
    <row r="83" spans="2:2">
      <c r="B83" s="7" t="s">
        <v>212</v>
      </c>
    </row>
    <row r="85" spans="2:2">
      <c r="B85" s="7" t="s">
        <v>213</v>
      </c>
    </row>
    <row r="86" spans="2:2">
      <c r="B86" s="7" t="s">
        <v>214</v>
      </c>
    </row>
    <row r="87" spans="2:2" ht="25.5">
      <c r="B87" s="7" t="s">
        <v>215</v>
      </c>
    </row>
    <row r="88" spans="2:2" ht="25.5">
      <c r="B88" s="7" t="s">
        <v>216</v>
      </c>
    </row>
    <row r="89" spans="2:2" ht="25.5">
      <c r="B89" s="7" t="s">
        <v>217</v>
      </c>
    </row>
    <row r="91" spans="2:2">
      <c r="B91" s="7" t="s">
        <v>218</v>
      </c>
    </row>
    <row r="92" spans="2:2">
      <c r="B92" s="7" t="s">
        <v>219</v>
      </c>
    </row>
    <row r="94" spans="2:2" ht="25.5">
      <c r="B94" s="7" t="s">
        <v>220</v>
      </c>
    </row>
    <row r="96" spans="2:2">
      <c r="B96" s="7" t="s">
        <v>221</v>
      </c>
    </row>
    <row r="97" spans="2:2" ht="25.5">
      <c r="B97" s="7" t="s">
        <v>222</v>
      </c>
    </row>
    <row r="98" spans="2:2">
      <c r="B98" s="7" t="s">
        <v>223</v>
      </c>
    </row>
    <row r="99" spans="2:2">
      <c r="B99" s="7" t="s">
        <v>224</v>
      </c>
    </row>
    <row r="100" spans="2:2">
      <c r="B100" s="7" t="s">
        <v>225</v>
      </c>
    </row>
    <row r="101" spans="2:2" ht="25.5">
      <c r="B101" s="7" t="s">
        <v>226</v>
      </c>
    </row>
    <row r="102" spans="2:2" ht="25.5">
      <c r="B102" s="7" t="s">
        <v>227</v>
      </c>
    </row>
    <row r="103" spans="2:2">
      <c r="B103" s="7" t="s">
        <v>228</v>
      </c>
    </row>
    <row r="104" spans="2:2" ht="25.5">
      <c r="B104" s="7" t="s">
        <v>229</v>
      </c>
    </row>
  </sheetData>
  <mergeCells count="17">
    <mergeCell ref="A56:A58"/>
    <mergeCell ref="A60:A62"/>
    <mergeCell ref="A66:A68"/>
    <mergeCell ref="A70:A73"/>
    <mergeCell ref="A75:A76"/>
    <mergeCell ref="A51:A54"/>
    <mergeCell ref="A1:A4"/>
    <mergeCell ref="A6:A8"/>
    <mergeCell ref="A10:A13"/>
    <mergeCell ref="A15:A17"/>
    <mergeCell ref="A19:A22"/>
    <mergeCell ref="A24:A27"/>
    <mergeCell ref="A29:A31"/>
    <mergeCell ref="A33:A34"/>
    <mergeCell ref="A36:A39"/>
    <mergeCell ref="A41:A44"/>
    <mergeCell ref="A46:A49"/>
  </mergeCells>
  <pageMargins left="0.7" right="0.7" top="0.75" bottom="0.75" header="0.3" footer="0.3"/>
  <pageSetup paperSize="9" orientation="portrait" horizontalDpi="4294967294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"/>
  <sheetViews>
    <sheetView workbookViewId="0">
      <selection activeCell="Q2" sqref="Q2:R19"/>
    </sheetView>
  </sheetViews>
  <sheetFormatPr defaultRowHeight="15"/>
  <cols>
    <col min="1" max="1" width="15.42578125" customWidth="1"/>
    <col min="2" max="2" width="5.85546875" customWidth="1"/>
    <col min="3" max="3" width="4.85546875" style="11" customWidth="1"/>
    <col min="5" max="5" width="6.85546875" customWidth="1"/>
    <col min="6" max="6" width="15.7109375" bestFit="1" customWidth="1"/>
    <col min="8" max="8" width="10.5703125" bestFit="1" customWidth="1"/>
    <col min="10" max="10" width="12.42578125" bestFit="1" customWidth="1"/>
    <col min="11" max="11" width="4.140625" customWidth="1"/>
    <col min="12" max="12" width="4.7109375" style="12" customWidth="1"/>
    <col min="17" max="17" width="12.42578125" bestFit="1" customWidth="1"/>
    <col min="18" max="18" width="10" bestFit="1" customWidth="1"/>
  </cols>
  <sheetData>
    <row r="1" spans="1:20">
      <c r="A1" t="s">
        <v>0</v>
      </c>
      <c r="B1">
        <f>IF((G1=1),ROUNDDOWN(((((E1+(E2/2))*N2)+(E3))/N2/2),0),(ROUNDUP(((((E1+(E2/2))*N2)+(E3))/N2/2),0)))</f>
        <v>20</v>
      </c>
      <c r="C1" s="11" t="str">
        <f>DEC2HEX(B1)</f>
        <v>14</v>
      </c>
      <c r="D1" t="s">
        <v>1</v>
      </c>
      <c r="E1">
        <f>(I1+I2+I3)</f>
        <v>16</v>
      </c>
      <c r="F1" t="s">
        <v>2</v>
      </c>
      <c r="G1" s="1">
        <v>0</v>
      </c>
      <c r="H1" t="s">
        <v>3</v>
      </c>
      <c r="I1">
        <f>IF(G4=0,0,I4-G4)</f>
        <v>0</v>
      </c>
      <c r="J1" t="s">
        <v>4</v>
      </c>
      <c r="K1">
        <f>IF((G2),(IF(N1&lt;=2133,(1),(IF(N1&lt;=2666,(2),(IF(N1&lt;=3200,(3),("RFU"))))))),0)</f>
        <v>0</v>
      </c>
      <c r="L1" s="12" t="str">
        <f>DEC2HEX(K1)</f>
        <v>0</v>
      </c>
      <c r="M1" t="s">
        <v>5</v>
      </c>
      <c r="N1" s="1">
        <v>2666</v>
      </c>
      <c r="O1" s="1"/>
      <c r="P1" s="1"/>
      <c r="Q1" s="1"/>
      <c r="R1" s="1"/>
      <c r="S1" s="1"/>
      <c r="T1" s="1"/>
    </row>
    <row r="2" spans="1:20">
      <c r="A2" t="s">
        <v>6</v>
      </c>
      <c r="B2">
        <f>IF(G5=1,ROUNDUP(E4/N2/2,0),ROUNDDOWN(E4/N2,0))</f>
        <v>20</v>
      </c>
      <c r="C2" s="11" t="str">
        <f t="shared" ref="C2:C64" si="0">DEC2HEX(B2)</f>
        <v>14</v>
      </c>
      <c r="D2" t="s">
        <v>7</v>
      </c>
      <c r="E2" s="1">
        <v>8</v>
      </c>
      <c r="F2" t="s">
        <v>8</v>
      </c>
      <c r="G2" s="1">
        <v>0</v>
      </c>
      <c r="H2" t="s">
        <v>9</v>
      </c>
      <c r="I2">
        <f>IF(K1=0,0,(IF(K1=1,(4),(IF(K1=2,(5),(IF(K1=3,(6),("FRU"))))))))</f>
        <v>0</v>
      </c>
      <c r="J2" t="s">
        <v>10</v>
      </c>
      <c r="K2">
        <f>G4</f>
        <v>0</v>
      </c>
      <c r="L2" s="12" t="str">
        <f t="shared" ref="L2:L61" si="1">DEC2HEX(K2)</f>
        <v>0</v>
      </c>
      <c r="M2" t="s">
        <v>11</v>
      </c>
      <c r="N2">
        <f>2000/N1</f>
        <v>0.75018754688672173</v>
      </c>
      <c r="Q2" s="2" t="s">
        <v>12</v>
      </c>
      <c r="R2" s="2" t="str">
        <f>DEC2HEX(B4+B3*POWER(2,8)+B2*POWER(2,16)+B1*POWER(2,24),8)</f>
        <v>14142D15</v>
      </c>
    </row>
    <row r="3" spans="1:20">
      <c r="A3" t="s">
        <v>13</v>
      </c>
      <c r="B3">
        <f>IF(G5=1,(ROUNDDOWN(ROUNDDOWN((((E6/N2/1024)-1)/2),0),0)),(ROUNDDOWN((E6/N2/1024),0)))</f>
        <v>45</v>
      </c>
      <c r="C3" s="11" t="str">
        <f t="shared" si="0"/>
        <v>2D</v>
      </c>
      <c r="D3" t="s">
        <v>14</v>
      </c>
      <c r="E3">
        <v>15</v>
      </c>
      <c r="F3" t="s">
        <v>15</v>
      </c>
      <c r="G3" s="1">
        <v>0</v>
      </c>
      <c r="H3" t="s">
        <v>16</v>
      </c>
      <c r="I3">
        <f>IF(G8,(IF(G1,(IF(N1&lt;=1600,(11),(IF(N1&lt;=1866,(12),(IF(N1&lt;=2133,(14),(IF(N1&lt;=2400,(16),(IF(N1&lt;=2666,(18),(IF(N1&lt;=2933,(20),(IF(N1&lt;=3200,(20),(12))))))))))))))),(IF(N1&lt;=1600,("N/A"),(IF(N1&lt;=1866,("N/A"),(IF(N1&lt;=2133,("N/A"),(IF(N1&lt;=2400,(16),(IF(N1&lt;=2666,(18),(IF(N1&lt;=2933,(20),(IF(N1&lt;=3200,(20),(12))))))))))))))))),(IF(G1,(IF(N1&lt;=1600,(9),(IF(N1&lt;=1866,(10),(IF(N1&lt;=2133,(11),(IF(N1&lt;=2400,(12),(IF(N1&lt;=2666,(14),(IF(N1&lt;=2933,(16),(IF(N1&lt;=3200,(16),("N/A"))))))))))))))),(IF(N1&lt;=1600,("N/A"),(IF(N1&lt;=1866,("N/A"),(IF(N1&lt;=2133,("N/A"),(IF(N1&lt;=2400,(14),(IF(N1&lt;=2666,(16),(IF(N1&lt;=2933,(18),(IF(N1&lt;=3200,(18),("N/A"))))))))))))))))))</f>
        <v>16</v>
      </c>
      <c r="J3" t="s">
        <v>140</v>
      </c>
      <c r="K3">
        <v>0</v>
      </c>
      <c r="L3" s="12" t="str">
        <f t="shared" si="1"/>
        <v>0</v>
      </c>
      <c r="Q3" s="2" t="s">
        <v>17</v>
      </c>
      <c r="R3" s="2" t="str">
        <f>DEC2HEX(B8+B7*POWER(2,8)+B6*POWER(2,16),8)</f>
        <v>00040520</v>
      </c>
    </row>
    <row r="4" spans="1:20">
      <c r="A4" t="s">
        <v>18</v>
      </c>
      <c r="B4">
        <f>IF(G5=1,IF(G1,ROUNDDOWN((E5/N2/2),0),ROUNDDOWN(E5/N2/2,0)),ROUNDUP(E5/N2,0))</f>
        <v>21</v>
      </c>
      <c r="C4" s="11" t="str">
        <f t="shared" si="0"/>
        <v>15</v>
      </c>
      <c r="D4" t="s">
        <v>19</v>
      </c>
      <c r="E4" s="3">
        <f>IF((G6=2),(IF((N1&lt;=2400),(IF(((28*N2)-35&gt;0),(ROUNDUP((28*N2),0)),(35))),(IF(((28*N2)-30&gt;0),(ROUNDUP((28*N2),0)),(30))))),IF((G6=1),(IF((N1&lt;=2400),(IF(((20*N2)-25&gt;0),(ROUNDUP((20*N2),0)),(25))),(IF(((20*N2)-21&gt;0),(ROUNDUP((20*N2),0)),(21))))),IF((G6=0),(IF((N1&lt;=2400),(IF(((16*N2)-20&gt;0),(ROUNDUP((16*N2),0)),(20))),(IF(((16*N2)-12&gt;0),(ROUNDUP((16*N2),0)),(12))))),"N/A")))</f>
        <v>30</v>
      </c>
      <c r="F4" t="s">
        <v>20</v>
      </c>
      <c r="G4" s="1">
        <v>0</v>
      </c>
      <c r="H4" t="s">
        <v>21</v>
      </c>
      <c r="I4">
        <f>IF(G3,(IF(N1&lt;=1600,(14),(IF(N1&lt;=1866,(16),(IF(N1&lt;=2133,(19),(IF(N1&lt;=2400,(21),(IF(N1&lt;=2666,(23),(IF(N1&lt;=2933,(26),(IF(N1&lt;=3200,(28),("N/A"))))))))))))))),(IF(N1&lt;=1600,(12),(IF(N1&lt;=1866,(14),(IF(N1&lt;=2133,(16),(IF(N1&lt;=2400,(18),(IF(N1&lt;=2666,(20),(IF(N1&lt;=2933,(22),(IF(N1&lt;=3200,(24),("N/A"))))))))))))))))</f>
        <v>20</v>
      </c>
      <c r="J4" t="s">
        <v>141</v>
      </c>
      <c r="K4">
        <f>IF(I9=5,0,IF(I9=6,1,IF(I9=7,2,IF(I9=8,3,IF(I9=9,4,IF(I9=10,5,IF(I9=12,6,IF(I9=11,7,IF(I9=13,8,IF(I9=14,9,"N/A"))))))))))</f>
        <v>5</v>
      </c>
      <c r="L4" s="12" t="str">
        <f t="shared" si="1"/>
        <v>5</v>
      </c>
      <c r="Q4" s="2" t="s">
        <v>22</v>
      </c>
      <c r="R4" s="2" t="str">
        <f>DEC2HEX(B13+B12*POWER(2,8)+B11*POWER(2,16)+B10*POWER(2,24),8)</f>
        <v>080A0610</v>
      </c>
    </row>
    <row r="5" spans="1:20" ht="13.5" customHeight="1">
      <c r="D5" s="4" t="s">
        <v>23</v>
      </c>
      <c r="E5">
        <f>(IF(N1&lt;=1600,(35),(IF(N1&lt;=1866,(34),(IF(N1&lt;=2133,(33),(IF(N1&lt;=2400,(32),(IF(N1&lt;=2666,(32),(IF(N1&lt;=2933,(32),(IF(N1&lt;=3200,(32),("N/A")))))))))))))))</f>
        <v>32</v>
      </c>
      <c r="F5" s="3" t="s">
        <v>24</v>
      </c>
      <c r="G5" s="1">
        <v>1</v>
      </c>
      <c r="H5" t="s">
        <v>25</v>
      </c>
      <c r="I5">
        <v>7.8</v>
      </c>
      <c r="J5" t="s">
        <v>142</v>
      </c>
      <c r="K5">
        <f>INT((IF(I9=5,0,IF(I9=6,1,IF(I9=7,2,IF(I9=8,3,IF(I9=9,4,IF(I9=10,5,IF(I9=12,6,IF(I9=11,7,IF(I9=13,8,IF(I9=14,9,"N/A")))))))))))/8)</f>
        <v>0</v>
      </c>
      <c r="L5" s="12" t="str">
        <f t="shared" si="1"/>
        <v>0</v>
      </c>
      <c r="Q5" s="2" t="s">
        <v>26</v>
      </c>
      <c r="R5" s="2" t="str">
        <f>DEC2HEX(B17+B16*POWER(2,12)+B15*POWER(2,20),8)</f>
        <v>0050400C</v>
      </c>
    </row>
    <row r="6" spans="1:20" ht="17.25" customHeight="1">
      <c r="A6" t="s">
        <v>27</v>
      </c>
      <c r="B6">
        <f>ROUNDUP(IF(G2,(IF(G5,(I8/2),ROUNDUP(I8/2,0)))+I2,(IF(G5,(I8/2),ROUNDUP(I8/2,0)))),0)</f>
        <v>4</v>
      </c>
      <c r="C6" s="11" t="str">
        <f t="shared" si="0"/>
        <v>4</v>
      </c>
      <c r="D6" s="4" t="s">
        <v>28</v>
      </c>
      <c r="E6">
        <f>9*I6*1000</f>
        <v>70200</v>
      </c>
      <c r="F6" s="5" t="s">
        <v>29</v>
      </c>
      <c r="G6" s="1">
        <v>2</v>
      </c>
      <c r="H6" t="s">
        <v>30</v>
      </c>
      <c r="I6">
        <f>(I5/(POWER(2,G7)))</f>
        <v>7.8</v>
      </c>
      <c r="J6" t="s">
        <v>143</v>
      </c>
      <c r="K6">
        <f>MOD((IF(I9=5,0,IF(I9=6,1,IF(I9=7,2,IF(I9=8,3,IF(I9=9,4,IF(I9=10,5,IF(I9=12,6,IF(I9=11,7,IF(I9=13,8,IF(I9=14,9,"N/A"))))))))))),8)</f>
        <v>5</v>
      </c>
      <c r="L6" s="12" t="str">
        <f t="shared" si="1"/>
        <v>5</v>
      </c>
      <c r="Q6" s="2" t="s">
        <v>31</v>
      </c>
      <c r="R6" s="2" t="str">
        <f>DEC2HEX(B22+B21*POWER(2,8)+B20*POWER(2,16)+B19*POWER(2,24),8)</f>
        <v>0A04050B</v>
      </c>
    </row>
    <row r="7" spans="1:20">
      <c r="A7" t="s">
        <v>32</v>
      </c>
      <c r="B7">
        <f>IF(G5=0,(IF((I9+I1)-(E7+E2/2-(ROUNDUP(I10/N2,0)))&gt;0,(I9+I1),(E7+E2/2-(ROUNDUP(I10/N2,0))))),(IF(G1=1,ROUNDDOWN(IF((I9+I1)-(E7+E2/2-(ROUNDUP(I10/N2,0)))&gt;0,(I9+I1),(E7+E2/2-(ROUNDUP(I10/N2,0))))/2,0),ROUNDUP((IF((I9+I1)-(E7+E2/2-(ROUNDUP(I10/N2,0)))&gt;0,(I9+I1),(E7+E2/2-(ROUNDUP(I10/N2,0)))))/2,0))))</f>
        <v>5</v>
      </c>
      <c r="C7" s="11" t="str">
        <f t="shared" si="0"/>
        <v>5</v>
      </c>
      <c r="D7" t="s">
        <v>33</v>
      </c>
      <c r="E7">
        <f>I1+I4</f>
        <v>20</v>
      </c>
      <c r="F7" t="s">
        <v>34</v>
      </c>
      <c r="G7" s="1">
        <v>0</v>
      </c>
      <c r="H7" t="s">
        <v>30</v>
      </c>
      <c r="I7">
        <f>(I5/(POWER(2,G7+1)))</f>
        <v>3.9</v>
      </c>
      <c r="J7" t="s">
        <v>144</v>
      </c>
      <c r="K7">
        <f>E8</f>
        <v>0</v>
      </c>
      <c r="L7" s="12" t="str">
        <f t="shared" si="1"/>
        <v>0</v>
      </c>
      <c r="Q7" s="2" t="s">
        <v>35</v>
      </c>
      <c r="R7" s="2" t="str">
        <f>DEC2HEX(B27+B26*POWER(2,8)+B25*POWER(2,16)+B24*POWER(2,24),8)</f>
        <v>07070404</v>
      </c>
    </row>
    <row r="8" spans="1:20">
      <c r="A8" t="s">
        <v>36</v>
      </c>
      <c r="B8">
        <f>IF(G5=0,ROUNDUP(I11/N2,0),IF(G1=1,ROUNDDOWN(ROUNDUP(I11/N2,0)/2,0),ROUNDUP(ROUNDUP(I11/N2,0)/2,0)))</f>
        <v>32</v>
      </c>
      <c r="C8" s="11" t="str">
        <f t="shared" si="0"/>
        <v>20</v>
      </c>
      <c r="D8" t="s">
        <v>145</v>
      </c>
      <c r="E8">
        <v>0</v>
      </c>
      <c r="F8" t="s">
        <v>37</v>
      </c>
      <c r="G8" s="1">
        <v>0</v>
      </c>
      <c r="H8" s="6" t="s">
        <v>38</v>
      </c>
      <c r="I8">
        <f>ROUNDUP(IF(((6/N2)-4)&gt;0,(6/N2),4),0)</f>
        <v>8</v>
      </c>
      <c r="J8" t="s">
        <v>146</v>
      </c>
      <c r="K8">
        <v>0</v>
      </c>
      <c r="L8" s="12" t="str">
        <f t="shared" si="1"/>
        <v>0</v>
      </c>
      <c r="Q8" s="9" t="s">
        <v>39</v>
      </c>
      <c r="R8" s="9" t="str">
        <f>DEC2HEX(B31+B30*POWER(2,16)+B29*POWER(2,24),8)</f>
        <v>02020005</v>
      </c>
    </row>
    <row r="9" spans="1:20">
      <c r="F9" t="s">
        <v>40</v>
      </c>
      <c r="G9" s="1">
        <v>110</v>
      </c>
      <c r="H9" s="4" t="s">
        <v>41</v>
      </c>
      <c r="I9">
        <f>ROUNDUP(IF(((7.5/N2)-4)&gt;0,(7.5/N2),4),0)</f>
        <v>10</v>
      </c>
      <c r="J9" t="s">
        <v>147</v>
      </c>
      <c r="K9">
        <f>IF(I4=9,0,IF(I4=10,1,IF(I4=11,2,IF(I4=11,2,IF(I4=12,3,IF(I4=13,4,IF(I4=14,5,IF(I4=15,6,IF(I4=16,7,IF(I4=18,8,IF(I4=20,9,IF(I4=22,10,IF(I4=24,11,IF(I4=23,12,IF(I4=17,13,IF(I4=19,14,IF(I4=21,15,IF(I4=25,16,IF(I4=26,17,IF(I4=27,18,IF(I4=28,19,IF(I4=29,20,IF(I4=30,21,IF(I4=31,22,IF(I4=32,23,"N/A")))))))))))))))))))))))))</f>
        <v>9</v>
      </c>
      <c r="L9" s="12" t="str">
        <f t="shared" si="1"/>
        <v>9</v>
      </c>
      <c r="Q9" s="9" t="s">
        <v>42</v>
      </c>
      <c r="R9" s="9" t="str">
        <f>DEC2HEX(B34+B33*POWER(2,8),8)</f>
        <v>00000707</v>
      </c>
    </row>
    <row r="10" spans="1:20">
      <c r="A10" t="s">
        <v>43</v>
      </c>
      <c r="B10">
        <f>IF(G5=0,E1,ROUNDUP(E1/2,0))</f>
        <v>8</v>
      </c>
      <c r="C10" s="11" t="str">
        <f t="shared" si="0"/>
        <v>8</v>
      </c>
      <c r="F10" t="s">
        <v>44</v>
      </c>
      <c r="G10" s="1">
        <v>260</v>
      </c>
      <c r="H10" s="4" t="s">
        <v>45</v>
      </c>
      <c r="I10">
        <f>IF(1,15,(IF(N1&lt;=1600,(15),(IF(N1&lt;=1866,(15),(IF(N1&lt;=2133,(15),(IF(N1&lt;=2400,(14.16),(IF(N1&lt;=2666,(14.25),(IF(N1&lt;=2933,(15),(IF(N1&lt;=3200,(15),("N/A"))))))))))))))))</f>
        <v>15</v>
      </c>
      <c r="J10" t="s">
        <v>148</v>
      </c>
      <c r="K10" s="1">
        <v>0</v>
      </c>
      <c r="L10" s="12" t="str">
        <f t="shared" si="1"/>
        <v>0</v>
      </c>
      <c r="Q10" s="2" t="s">
        <v>46</v>
      </c>
      <c r="R10" s="2" t="str">
        <f>DEC2HEX(B39+B38*POWER(2,8)+B37*POWER(2,16)+B36*POWER(2,24),8)</f>
        <v>03030E05</v>
      </c>
    </row>
    <row r="11" spans="1:20">
      <c r="A11" t="s">
        <v>47</v>
      </c>
      <c r="B11">
        <f>IF(G5=0,E7,ROUNDUP(E7/2,0))</f>
        <v>10</v>
      </c>
      <c r="C11" s="11" t="str">
        <f t="shared" si="0"/>
        <v>A</v>
      </c>
      <c r="F11" t="s">
        <v>48</v>
      </c>
      <c r="G11" s="1">
        <v>0</v>
      </c>
      <c r="H11" t="s">
        <v>49</v>
      </c>
      <c r="I11">
        <f>E5+I10</f>
        <v>47</v>
      </c>
      <c r="J11" t="s">
        <v>149</v>
      </c>
      <c r="K11" s="1">
        <v>0</v>
      </c>
      <c r="L11" s="12" t="str">
        <f t="shared" si="1"/>
        <v>0</v>
      </c>
      <c r="Q11" s="2" t="s">
        <v>50</v>
      </c>
      <c r="R11" s="2" t="str">
        <f>DEC2HEX(B44+B43*POWER(2,8)+B42*POWER(2,16)+B41*POWER(2,30),8)</f>
        <v>4002040D</v>
      </c>
    </row>
    <row r="12" spans="1:20">
      <c r="A12" t="s">
        <v>51</v>
      </c>
      <c r="B12">
        <f>IF(G5=0,(E7+E2/2+1+IF(G1=0,2,1)-E1),ROUNDUP((E7+E2/2+1+IF(G1=0,2,1)-E1)/2,0))</f>
        <v>6</v>
      </c>
      <c r="C12" s="11" t="str">
        <f t="shared" si="0"/>
        <v>6</v>
      </c>
      <c r="F12" t="s">
        <v>150</v>
      </c>
      <c r="G12" s="1">
        <v>0</v>
      </c>
      <c r="H12" t="s">
        <v>52</v>
      </c>
      <c r="I12">
        <f>ROUNDUP(IF(((7.5/N2)-4)&gt;0,(7.5/N2),4),0)</f>
        <v>10</v>
      </c>
      <c r="Q12" s="2" t="s">
        <v>53</v>
      </c>
      <c r="R12" s="2" t="str">
        <f>DEC2HEX(B49+B47*POWER(2,8)+B46*POWER(2,16)+B48*POWER(2,2),8)</f>
        <v>000E0C05</v>
      </c>
    </row>
    <row r="13" spans="1:20">
      <c r="A13" t="s">
        <v>54</v>
      </c>
      <c r="B13">
        <f>IF(G5=0,(I3+I2+E2/2+I12+IF(G1=0,1,0)),ROUNDUP((I3+I2+E2/2+I12+IF(G1=0,1,0))/2,0))</f>
        <v>16</v>
      </c>
      <c r="C13" s="11" t="str">
        <f t="shared" si="0"/>
        <v>10</v>
      </c>
      <c r="F13" t="s">
        <v>151</v>
      </c>
      <c r="G13" s="1">
        <v>1</v>
      </c>
      <c r="H13" t="s">
        <v>55</v>
      </c>
      <c r="I13">
        <v>8</v>
      </c>
      <c r="J13" t="s">
        <v>152</v>
      </c>
      <c r="K13" s="1">
        <v>0</v>
      </c>
      <c r="L13" s="12" t="str">
        <f t="shared" si="1"/>
        <v>0</v>
      </c>
      <c r="Q13" s="2" t="s">
        <v>56</v>
      </c>
      <c r="R13" s="2" t="str">
        <f>DEC2HEX(B54+B53*POWER(2,8)+B52*POWER(2,16)+B51*POWER(2,24),8)</f>
        <v>1209010E</v>
      </c>
    </row>
    <row r="14" spans="1:20">
      <c r="H14" t="s">
        <v>57</v>
      </c>
      <c r="I14">
        <f>ROUNDUP(IF(((15/N2)-24)&gt;0,(15/N2),24),0)</f>
        <v>24</v>
      </c>
      <c r="J14" t="s">
        <v>153</v>
      </c>
      <c r="K14" s="1">
        <v>0</v>
      </c>
      <c r="L14" s="12" t="str">
        <f t="shared" si="1"/>
        <v>0</v>
      </c>
      <c r="Q14" s="2" t="s">
        <v>58</v>
      </c>
      <c r="R14" s="2" t="str">
        <f>DEC2HEX(B58+B57*POWER(2,16)+B56*POWER(2,24),8)</f>
        <v>0C020008</v>
      </c>
    </row>
    <row r="15" spans="1:20">
      <c r="A15" s="8" t="s">
        <v>59</v>
      </c>
      <c r="B15" s="8">
        <v>5</v>
      </c>
      <c r="C15" s="13" t="str">
        <f t="shared" si="0"/>
        <v>5</v>
      </c>
      <c r="H15" t="s">
        <v>60</v>
      </c>
      <c r="I15">
        <f>IF(1,15,(IF(N1&lt;=1600,(15),(IF(N1&lt;=1866,(15),(IF(N1&lt;=2133,(15),(IF(N1&lt;=2400,(14.16),(IF(N1&lt;=2666,(14.25),(IF(N1&lt;=2933,(15),(IF(N1&lt;=3200,(15),("N/A"))))))))))))))))</f>
        <v>15</v>
      </c>
      <c r="J15" t="s">
        <v>154</v>
      </c>
      <c r="K15" s="1">
        <v>1</v>
      </c>
      <c r="L15" s="12" t="str">
        <f t="shared" si="1"/>
        <v>1</v>
      </c>
      <c r="Q15" s="9" t="s">
        <v>61</v>
      </c>
      <c r="R15" s="9" t="str">
        <f>DEC2HEX(B62+B61*POWER(2,16)+B60*POWER(2,24),8)</f>
        <v>1C200004</v>
      </c>
    </row>
    <row r="16" spans="1:20">
      <c r="A16" t="s">
        <v>62</v>
      </c>
      <c r="B16">
        <f>IF(G5=0,I13,ROUNDUP(I13/2,0))</f>
        <v>4</v>
      </c>
      <c r="C16" s="11" t="str">
        <f t="shared" si="0"/>
        <v>4</v>
      </c>
      <c r="H16" t="s">
        <v>63</v>
      </c>
      <c r="I16">
        <f>ROUNDUP(IF((((IF(N1&lt;=1600,(6.25),(IF(N1&lt;=1866,(5.355),(IF(N1&lt;=2400,(5),(5)))))))/N2)-4)&gt;0,((IF(N1&lt;=1600,(6.25),(IF(N1&lt;=1866,(5.355),(IF(N1&lt;=2400,(5),(5)))))))/N2),4),0)</f>
        <v>7</v>
      </c>
      <c r="J16" t="s">
        <v>155</v>
      </c>
      <c r="K16" s="14">
        <v>0</v>
      </c>
      <c r="L16" s="12" t="str">
        <f t="shared" si="1"/>
        <v>0</v>
      </c>
      <c r="Q16" s="9" t="s">
        <v>64</v>
      </c>
      <c r="R16" s="9" t="str">
        <f>DEC2HEX(B64,8)</f>
        <v>000000A0</v>
      </c>
    </row>
    <row r="17" spans="1:19">
      <c r="A17" t="s">
        <v>65</v>
      </c>
      <c r="B17">
        <f>IF(G5=0,I14,ROUNDUP(I14/2,0))</f>
        <v>12</v>
      </c>
      <c r="C17" s="11" t="str">
        <f t="shared" si="0"/>
        <v>C</v>
      </c>
      <c r="H17" t="s">
        <v>66</v>
      </c>
      <c r="I17">
        <f>ROUNDUP(IF(((IF(G6=2,(IF(N1&lt;=1600,(7.5),(6.4))),(IF(N1&lt;=1600,(6),(IF(N1&lt;=2133,(5.3),(4.9))))))/N2)&gt;4),(IF(G6=2,(IF(N1&lt;=1600,(7.5),(6.4))),(IF(N1&lt;=1600,(6),(IF(N1&lt;=2133,(5.3),(4.9))))))/N2),4),0)</f>
        <v>9</v>
      </c>
      <c r="J17" t="s">
        <v>156</v>
      </c>
      <c r="K17" s="14">
        <v>0</v>
      </c>
      <c r="L17" s="12" t="str">
        <f t="shared" si="1"/>
        <v>0</v>
      </c>
      <c r="Q17" s="2" t="s">
        <v>67</v>
      </c>
      <c r="R17" s="2" t="str">
        <f>DEC2HEX(B68+B67*POWER(2,24)+B66*POWER(2,31),8)</f>
        <v>00000000</v>
      </c>
    </row>
    <row r="18" spans="1:19">
      <c r="H18" t="s">
        <v>68</v>
      </c>
      <c r="I18">
        <f>ROUNDUP(IF(((10/N2)-5)&gt;0,(10/N2),5),0)</f>
        <v>14</v>
      </c>
      <c r="J18" t="s">
        <v>10</v>
      </c>
      <c r="K18" s="14">
        <f>G4</f>
        <v>0</v>
      </c>
      <c r="L18" s="12" t="str">
        <f t="shared" si="1"/>
        <v>0</v>
      </c>
      <c r="Q18" s="2" t="s">
        <v>137</v>
      </c>
      <c r="R18" s="2" t="str">
        <f t="shared" ref="R18:R19" si="2">DEC2HEX(B69+B68*POWER(2,24)+B67*POWER(2,31),8)</f>
        <v>00000000</v>
      </c>
    </row>
    <row r="19" spans="1:19">
      <c r="A19" t="s">
        <v>69</v>
      </c>
      <c r="B19">
        <f>IF(G5=0,IF((ROUNDUP(I15/N2,0)-I1)&gt;0,ROUNDUP(I15/N2,0),I1),ROUNDUP(IF((ROUNDUP(I15/N2,0)-I1)&gt;0,ROUNDUP(I15/N2,0),I1)/2,0))</f>
        <v>10</v>
      </c>
      <c r="C19" s="11" t="str">
        <f t="shared" si="0"/>
        <v>A</v>
      </c>
      <c r="H19" t="s">
        <v>70</v>
      </c>
      <c r="I19">
        <f>ROUNDUP(IF(((10/N2)-5)&gt;0,(10/N2),5),0)</f>
        <v>14</v>
      </c>
      <c r="J19" t="s">
        <v>157</v>
      </c>
      <c r="K19" s="14">
        <v>1</v>
      </c>
      <c r="L19" s="12" t="str">
        <f t="shared" si="1"/>
        <v>1</v>
      </c>
      <c r="Q19" s="9" t="s">
        <v>138</v>
      </c>
      <c r="R19" s="9" t="str">
        <f t="shared" si="2"/>
        <v>00000000</v>
      </c>
    </row>
    <row r="20" spans="1:19">
      <c r="A20" t="s">
        <v>71</v>
      </c>
      <c r="B20">
        <f>IF(G5=0,I16,ROUNDUP(I16/2,0))</f>
        <v>4</v>
      </c>
      <c r="C20" s="11" t="str">
        <f t="shared" si="0"/>
        <v>4</v>
      </c>
      <c r="H20" t="s">
        <v>72</v>
      </c>
      <c r="I20">
        <f>ROUNDUP(IF(((5/N2)-3)&gt;0,(5/N2),3),0)</f>
        <v>7</v>
      </c>
      <c r="J20" t="s">
        <v>158</v>
      </c>
      <c r="K20" s="1">
        <v>1</v>
      </c>
      <c r="L20" s="12" t="str">
        <f t="shared" si="1"/>
        <v>1</v>
      </c>
      <c r="P20" s="15"/>
      <c r="Q20" s="16"/>
      <c r="R20" s="16"/>
      <c r="S20" s="15"/>
    </row>
    <row r="21" spans="1:19">
      <c r="A21" t="s">
        <v>73</v>
      </c>
      <c r="B21">
        <f>IF(G5=0,I17,ROUNDUP(I17/2,0))</f>
        <v>5</v>
      </c>
      <c r="C21" s="11" t="str">
        <f t="shared" si="0"/>
        <v>5</v>
      </c>
      <c r="H21" t="s">
        <v>74</v>
      </c>
      <c r="I21">
        <f>I20+1</f>
        <v>8</v>
      </c>
    </row>
    <row r="22" spans="1:19">
      <c r="A22" t="s">
        <v>75</v>
      </c>
      <c r="B22">
        <f>IF(G5=0,ROUNDUP(I10/N2,0),ROUNDUP(ROUNDUP(I10/N2,0)/2,0)+1)</f>
        <v>11</v>
      </c>
      <c r="C22" s="11" t="str">
        <f t="shared" si="0"/>
        <v>B</v>
      </c>
      <c r="H22" t="s">
        <v>76</v>
      </c>
      <c r="I22">
        <f>G9+10</f>
        <v>120</v>
      </c>
      <c r="J22" t="s">
        <v>159</v>
      </c>
      <c r="K22" s="1">
        <v>0</v>
      </c>
      <c r="L22" s="12" t="str">
        <f t="shared" si="1"/>
        <v>0</v>
      </c>
    </row>
    <row r="23" spans="1:19">
      <c r="H23" t="s">
        <v>77</v>
      </c>
      <c r="I23">
        <f>G9+10</f>
        <v>120</v>
      </c>
      <c r="J23" t="s">
        <v>160</v>
      </c>
      <c r="K23">
        <v>4</v>
      </c>
      <c r="L23" s="12" t="str">
        <f t="shared" si="1"/>
        <v>4</v>
      </c>
    </row>
    <row r="24" spans="1:19">
      <c r="A24" t="s">
        <v>78</v>
      </c>
      <c r="B24">
        <f>IF(G5=0,I18,ROUNDUP(I18/2,0))</f>
        <v>7</v>
      </c>
      <c r="C24" s="11" t="str">
        <f t="shared" si="0"/>
        <v>7</v>
      </c>
      <c r="H24" t="s">
        <v>79</v>
      </c>
      <c r="I24">
        <f>I26</f>
        <v>854</v>
      </c>
      <c r="J24" t="s">
        <v>161</v>
      </c>
      <c r="K24" s="1">
        <v>0</v>
      </c>
      <c r="L24" s="12" t="str">
        <f t="shared" si="1"/>
        <v>0</v>
      </c>
      <c r="Q24" t="s">
        <v>162</v>
      </c>
    </row>
    <row r="25" spans="1:19">
      <c r="A25" t="s">
        <v>80</v>
      </c>
      <c r="B25">
        <f>IF(G5=0,I19+I2,ROUNDUP((I19+I2)/2,0))</f>
        <v>7</v>
      </c>
      <c r="C25" s="11" t="str">
        <f t="shared" si="0"/>
        <v>7</v>
      </c>
      <c r="H25" t="s">
        <v>81</v>
      </c>
      <c r="I25">
        <f>G10+10</f>
        <v>270</v>
      </c>
      <c r="J25" t="s">
        <v>163</v>
      </c>
      <c r="K25">
        <f>IF(I3=9,0,IF(I3=10,1,IF(I3=11,2,IF(I3=12,3,IF(I3=14,4,IF(I3=16,5,IF(I3=18,6,IF(I3=20,7,))))))))</f>
        <v>5</v>
      </c>
      <c r="L25" s="12" t="str">
        <f t="shared" si="1"/>
        <v>5</v>
      </c>
      <c r="Q25" t="s">
        <v>164</v>
      </c>
    </row>
    <row r="26" spans="1:19">
      <c r="A26" t="s">
        <v>82</v>
      </c>
      <c r="B26">
        <f>IF(G5=0,I21+I2,ROUNDUP((I21+I2)/2,0))</f>
        <v>4</v>
      </c>
      <c r="C26" s="11" t="str">
        <f t="shared" si="0"/>
        <v>4</v>
      </c>
      <c r="H26" t="s">
        <v>83</v>
      </c>
      <c r="I26">
        <f>(IF(N1&lt;=1600,(597),(IF(N1&lt;=1866,(597),(IF(N1&lt;=2133,(768),(IF(N1&lt;=2400,(768),(IF(N1&lt;=2666,(854),(IF(N1&lt;=2933,(940),(IF(N1&lt;=3200,(1024),("N/A")))))))))))))))</f>
        <v>854</v>
      </c>
      <c r="Q26" t="s">
        <v>165</v>
      </c>
    </row>
    <row r="27" spans="1:19">
      <c r="A27" t="s">
        <v>84</v>
      </c>
      <c r="B27">
        <f>IF(G5=0,I20,ROUNDUP(I20/2,0))</f>
        <v>4</v>
      </c>
      <c r="C27" s="11" t="str">
        <f t="shared" si="0"/>
        <v>4</v>
      </c>
      <c r="H27" s="10" t="s">
        <v>85</v>
      </c>
      <c r="I27">
        <v>4</v>
      </c>
      <c r="J27" t="s">
        <v>166</v>
      </c>
      <c r="K27" s="1">
        <v>0</v>
      </c>
      <c r="L27" s="12" t="str">
        <f t="shared" si="1"/>
        <v>0</v>
      </c>
      <c r="Q27" t="s">
        <v>167</v>
      </c>
    </row>
    <row r="28" spans="1:19">
      <c r="E28" t="s">
        <v>86</v>
      </c>
      <c r="H28" t="s">
        <v>87</v>
      </c>
      <c r="I28" s="3">
        <f>IF(ROUNDUP(IF(G6=2,(IF(N1&lt;=1600,(6),(IF(N1&lt;=3200,(5.3),("N/A"))))),(IF(N1&lt;=1600,(5),(IF(N1&lt;=1866,(4.2),(IF(N1&lt;=2133,(3.7),(IF(N1&lt;=2400,(3.3),(IF(N1&lt;=2666,(3),(IF(N1&lt;=2933,(2.7),(IF(N1&lt;=3200,(2.5),("N/A"))))))))))))))))/N2,0)-4&gt;0,ROUNDUP(IF(G6=2,(IF(N1&lt;=1600,(6),(IF(N1&lt;=3200,(5.3),("N/A"))))),(IF(N1&lt;=1600,(5),(IF(N1&lt;=1866,(4.2),(IF(N1&lt;=2133,(3.7),(IF(N1&lt;=2400,(3.3),(IF(N1&lt;=2666,(3),(IF(N1&lt;=2933,(2.7),(IF(N1&lt;=3200,(2.5),("N/A"))))))))))))))))/N2,0),4)</f>
        <v>8</v>
      </c>
      <c r="J28" t="s">
        <v>168</v>
      </c>
      <c r="K28">
        <f>(IF(N1&lt;=1600,(0),(IF(N1&lt;=2666,(1),(IF(N1&lt;=3200,(2),("N/A")))))))</f>
        <v>1</v>
      </c>
      <c r="L28" s="12" t="str">
        <f t="shared" si="1"/>
        <v>1</v>
      </c>
    </row>
    <row r="29" spans="1:19">
      <c r="A29" s="8" t="s">
        <v>88</v>
      </c>
      <c r="B29" s="8">
        <v>2</v>
      </c>
      <c r="C29" s="13" t="str">
        <f t="shared" si="0"/>
        <v>2</v>
      </c>
      <c r="H29" t="s">
        <v>89</v>
      </c>
      <c r="I29">
        <f>ROUNDUP(IF(((2.5/N2)-2)&gt;0,(2.5/N2),2),0)+IF(G1=0,1,0)</f>
        <v>5</v>
      </c>
      <c r="J29" t="s">
        <v>169</v>
      </c>
      <c r="K29" s="1">
        <v>0</v>
      </c>
      <c r="L29" s="12" t="str">
        <f t="shared" si="1"/>
        <v>0</v>
      </c>
    </row>
    <row r="30" spans="1:19">
      <c r="A30" s="8" t="s">
        <v>90</v>
      </c>
      <c r="B30" s="8">
        <v>2</v>
      </c>
      <c r="C30" s="13" t="str">
        <f t="shared" si="0"/>
        <v>2</v>
      </c>
      <c r="H30" t="s">
        <v>91</v>
      </c>
      <c r="I30">
        <f>(IF(N1&lt;=2400,("N/A"),(IF(N1&lt;=3200,(2),("N/A")))))</f>
        <v>2</v>
      </c>
      <c r="J30" t="s">
        <v>170</v>
      </c>
      <c r="K30" s="1">
        <v>0</v>
      </c>
      <c r="L30" s="12" t="str">
        <f t="shared" si="1"/>
        <v>0</v>
      </c>
      <c r="Q30" s="17" t="s">
        <v>171</v>
      </c>
      <c r="R30" s="17" t="str">
        <f>DEC2HEX(K11+K10*POWER(2,3)+(INT(MOD(K9,16)/2))*POWER(2,4)+(MOD(K9,2))*POWER(2,2)+(INT(K9/16))*POWER(2,12)+K8*POWER(2,7)+K7*POWER(2,8)+K6*POWER(2,9)+K5*POWER(2,13),4)</f>
        <v>0A44</v>
      </c>
    </row>
    <row r="31" spans="1:19">
      <c r="A31" s="8" t="s">
        <v>92</v>
      </c>
      <c r="B31" s="8">
        <v>5</v>
      </c>
      <c r="C31" s="13" t="str">
        <f t="shared" si="0"/>
        <v>5</v>
      </c>
      <c r="H31" t="s">
        <v>93</v>
      </c>
      <c r="I31">
        <f>(IF(N1&lt;=2400,("N/A"),(IF(N1&lt;=3200,(2),("N/A")))))</f>
        <v>2</v>
      </c>
      <c r="J31" t="s">
        <v>172</v>
      </c>
      <c r="K31" s="1">
        <v>0</v>
      </c>
      <c r="L31" s="12" t="str">
        <f t="shared" si="1"/>
        <v>0</v>
      </c>
      <c r="Q31" s="17" t="s">
        <v>173</v>
      </c>
      <c r="R31" s="17" t="str">
        <f>DEC2HEX(K20+K19*POWER(2,1)+K18*POWER(2,3)+K15*POWER(2,8)+K14*POWER(2,11)+K13*POWER(2,12),4)</f>
        <v>0103</v>
      </c>
    </row>
    <row r="32" spans="1:19">
      <c r="H32" t="s">
        <v>94</v>
      </c>
      <c r="I32">
        <f>I25+I24</f>
        <v>1124</v>
      </c>
      <c r="J32" t="s">
        <v>174</v>
      </c>
      <c r="K32" s="1">
        <v>0</v>
      </c>
      <c r="L32" s="12" t="str">
        <f t="shared" si="1"/>
        <v>0</v>
      </c>
      <c r="Q32" s="17" t="s">
        <v>175</v>
      </c>
      <c r="R32" s="17" t="str">
        <f>DEC2HEX(K25*POWER(2,3)+K24*POWER(2,6)+K23*POWER(2,9)+K22*POWER(2,12),4)</f>
        <v>0828</v>
      </c>
    </row>
    <row r="33" spans="1:18">
      <c r="A33" s="8" t="s">
        <v>95</v>
      </c>
      <c r="B33" s="8">
        <f>B25</f>
        <v>7</v>
      </c>
      <c r="C33" s="13" t="str">
        <f t="shared" si="0"/>
        <v>7</v>
      </c>
      <c r="H33" t="s">
        <v>176</v>
      </c>
      <c r="I33">
        <f>I25*N2-10</f>
        <v>192.55063765941486</v>
      </c>
      <c r="J33" t="s">
        <v>177</v>
      </c>
      <c r="K33" s="1">
        <v>0</v>
      </c>
      <c r="L33" s="12" t="str">
        <f t="shared" si="1"/>
        <v>0</v>
      </c>
      <c r="Q33" s="17" t="s">
        <v>178</v>
      </c>
      <c r="R33" s="17" t="str">
        <f>DEC2HEX(K34+K33*POWER(2,2)+K32*POWER(2,3)+K31*POWER(2,4)+K30*POWER(2,5)+K29*POWER(2,6)+K28*POWER(2,9)+K27*POWER(2,11),4)</f>
        <v>0200</v>
      </c>
    </row>
    <row r="34" spans="1:18">
      <c r="A34" s="8" t="s">
        <v>97</v>
      </c>
      <c r="B34" s="8">
        <f>B24</f>
        <v>7</v>
      </c>
      <c r="C34" s="13" t="str">
        <f t="shared" si="0"/>
        <v>7</v>
      </c>
      <c r="H34" t="s">
        <v>98</v>
      </c>
      <c r="I34">
        <f>(IF(N1&lt;=1600,(115),(IF(N1&lt;=1866,(100),(IF(N1&lt;=2133,(80),(IF(N1&lt;=2400,(62),(IF(N1&lt;=2666,(55),(IF(N1&lt;=2933,(48),(IF(N1&lt;=3200,(40),("N/A")))))))))))))))</f>
        <v>55</v>
      </c>
      <c r="J34" t="s">
        <v>179</v>
      </c>
      <c r="K34" s="1">
        <v>0</v>
      </c>
      <c r="L34" s="12" t="str">
        <f t="shared" si="1"/>
        <v>0</v>
      </c>
      <c r="Q34" s="17" t="s">
        <v>180</v>
      </c>
      <c r="R34" s="17" t="str">
        <f>DEC2HEX(K46*POWER(2,1)+K45*POWER(2,2)+K44*POWER(2,3)+K43*POWER(2,4)+K42*POWER(2,5)+K41*POWER(2,6)+K40*POWER(2,9)+K39*POWER(2,10)+K38*POWER(2,11)+K37*POWER(2,12)+K36*POWER(2,13),4)</f>
        <v>1800</v>
      </c>
    </row>
    <row r="35" spans="1:18">
      <c r="H35" t="s">
        <v>99</v>
      </c>
      <c r="I35">
        <f>(IF(N1&lt;=1600,(140),(IF(N1&lt;=1866,(125),(IF(N1&lt;=2133,(105),(IF(N1&lt;=2400,(87),(IF(N1&lt;=2666,(80),(IF(N1&lt;=2933,(73),(IF(N1&lt;=3200,(65),("N/A")))))))))))))))</f>
        <v>80</v>
      </c>
      <c r="Q35" s="17" t="s">
        <v>181</v>
      </c>
      <c r="R35" s="17" t="str">
        <f>DEC2HEX(K56+K55*POWER(2,3)+K54*POWER(2,4)+K53*POWER(2,5)+K52*POWER(2,6)+K51*POWER(2,9)+K50*POWER(2,10)+K49*POWER(2,11)+K48*POWER(2,12),4)</f>
        <v>0500</v>
      </c>
    </row>
    <row r="36" spans="1:18">
      <c r="A36" t="s">
        <v>100</v>
      </c>
      <c r="B36">
        <f>IF(B39-IF(G5=0,ROUNDUP(I22/N2/32,0),ROUNDUP(I22/N2/32/2,0))&gt;0,IF(G5=0,ROUNDUP(I22/N2/32,0),ROUNDUP(I22/N2/32/2,0)),B39)</f>
        <v>3</v>
      </c>
      <c r="C36" s="11" t="str">
        <f t="shared" si="0"/>
        <v>3</v>
      </c>
      <c r="H36" t="s">
        <v>101</v>
      </c>
      <c r="I36">
        <f>(I34+I35)/1000</f>
        <v>0.13500000000000001</v>
      </c>
      <c r="J36" t="s">
        <v>182</v>
      </c>
      <c r="K36" s="1">
        <v>0</v>
      </c>
      <c r="L36" s="12" t="str">
        <f t="shared" si="1"/>
        <v>0</v>
      </c>
      <c r="Q36" s="17" t="s">
        <v>183</v>
      </c>
      <c r="R36" s="17" t="str">
        <f>DEC2HEX(K61+K60*POWER(2,6)+K59*POWER(2,7)+K58*POWER(2,10),4)</f>
        <v>0C1B</v>
      </c>
    </row>
    <row r="37" spans="1:18">
      <c r="A37" t="s">
        <v>102</v>
      </c>
      <c r="B37">
        <f>IF(G5=0,I23/N2/32,ROUNDUP(I23/N2/32/2,0))</f>
        <v>3</v>
      </c>
      <c r="C37" s="11" t="str">
        <f t="shared" si="0"/>
        <v>3</v>
      </c>
      <c r="H37" t="s">
        <v>103</v>
      </c>
      <c r="I37">
        <v>4</v>
      </c>
      <c r="J37" t="s">
        <v>184</v>
      </c>
      <c r="K37">
        <f>IF(G1=0,1,0)</f>
        <v>1</v>
      </c>
      <c r="L37" s="12" t="str">
        <f t="shared" si="1"/>
        <v>1</v>
      </c>
    </row>
    <row r="38" spans="1:18">
      <c r="A38" t="s">
        <v>104</v>
      </c>
      <c r="B38">
        <f>IF(G5=0,I24/32,ROUNDUP(I24/32/2,0))</f>
        <v>14</v>
      </c>
      <c r="C38" s="11" t="str">
        <f t="shared" si="0"/>
        <v>E</v>
      </c>
      <c r="H38" t="s">
        <v>105</v>
      </c>
      <c r="I38">
        <f>I14+I37</f>
        <v>28</v>
      </c>
      <c r="J38" t="s">
        <v>185</v>
      </c>
      <c r="K38">
        <f>IF(G11=0,1,0)</f>
        <v>1</v>
      </c>
      <c r="L38" s="12" t="str">
        <f t="shared" si="1"/>
        <v>1</v>
      </c>
    </row>
    <row r="39" spans="1:18">
      <c r="A39" t="s">
        <v>106</v>
      </c>
      <c r="B39">
        <f>IF(G5=0,I25/32,ROUNDUP(I25/32/2,0))</f>
        <v>5</v>
      </c>
      <c r="C39" s="11" t="str">
        <f t="shared" si="0"/>
        <v>5</v>
      </c>
      <c r="H39" t="s">
        <v>107</v>
      </c>
      <c r="I39">
        <f>I14+I1+I2</f>
        <v>24</v>
      </c>
      <c r="J39" t="s">
        <v>186</v>
      </c>
      <c r="K39">
        <v>0</v>
      </c>
      <c r="L39" s="12" t="str">
        <f t="shared" si="1"/>
        <v>0</v>
      </c>
    </row>
    <row r="40" spans="1:18">
      <c r="H40" t="s">
        <v>108</v>
      </c>
      <c r="I40">
        <f>ROUNDUP(IF(((10/N2)-16)&gt;0,(10/N2),16),0)</f>
        <v>16</v>
      </c>
      <c r="J40" t="s">
        <v>187</v>
      </c>
      <c r="K40" s="1">
        <v>0</v>
      </c>
      <c r="L40" s="12" t="str">
        <f t="shared" si="1"/>
        <v>0</v>
      </c>
    </row>
    <row r="41" spans="1:18">
      <c r="A41" t="s">
        <v>109</v>
      </c>
      <c r="B41">
        <f>IF(G1=0,1,0)</f>
        <v>1</v>
      </c>
      <c r="C41" s="11" t="str">
        <f t="shared" si="0"/>
        <v>1</v>
      </c>
      <c r="H41" t="s">
        <v>188</v>
      </c>
      <c r="I41">
        <v>12</v>
      </c>
      <c r="J41" t="s">
        <v>189</v>
      </c>
      <c r="K41" s="1">
        <v>0</v>
      </c>
      <c r="L41" s="12" t="str">
        <f t="shared" si="1"/>
        <v>0</v>
      </c>
    </row>
    <row r="42" spans="1:18">
      <c r="A42" t="s">
        <v>110</v>
      </c>
      <c r="B42">
        <f>IF(G5=0,I27,ROUNDUP(I27/2,0))</f>
        <v>2</v>
      </c>
      <c r="C42" s="11" t="str">
        <f t="shared" si="0"/>
        <v>2</v>
      </c>
      <c r="J42" t="s">
        <v>190</v>
      </c>
      <c r="K42" s="1">
        <v>0</v>
      </c>
      <c r="L42" s="12" t="str">
        <f t="shared" si="1"/>
        <v>0</v>
      </c>
    </row>
    <row r="43" spans="1:18">
      <c r="A43" t="s">
        <v>111</v>
      </c>
      <c r="B43">
        <f>IF(G5=0,I28,ROUNDUP(I28/2,0))</f>
        <v>4</v>
      </c>
      <c r="C43" s="11" t="str">
        <f t="shared" si="0"/>
        <v>4</v>
      </c>
      <c r="J43" t="s">
        <v>191</v>
      </c>
      <c r="K43" s="1">
        <v>0</v>
      </c>
      <c r="L43" s="12" t="str">
        <f t="shared" si="1"/>
        <v>0</v>
      </c>
    </row>
    <row r="44" spans="1:18">
      <c r="A44" t="s">
        <v>112</v>
      </c>
      <c r="B44">
        <f>IF(G5=0,(I3+I2+E2/2+I29),ROUNDUP((I3+I2+E2/2+I29)/2,0))</f>
        <v>13</v>
      </c>
      <c r="C44" s="11" t="str">
        <f t="shared" si="0"/>
        <v>D</v>
      </c>
      <c r="J44" t="s">
        <v>192</v>
      </c>
      <c r="K44" s="1">
        <v>0</v>
      </c>
      <c r="L44" s="12" t="str">
        <f t="shared" si="1"/>
        <v>0</v>
      </c>
    </row>
    <row r="45" spans="1:18">
      <c r="J45" t="s">
        <v>193</v>
      </c>
      <c r="K45" s="1">
        <v>0</v>
      </c>
      <c r="L45" s="12" t="str">
        <f t="shared" si="1"/>
        <v>0</v>
      </c>
    </row>
    <row r="46" spans="1:18">
      <c r="A46" t="s">
        <v>113</v>
      </c>
      <c r="B46">
        <f>IF(G5=0,(I14+4),ROUNDUP((I14+4)/2,0))</f>
        <v>14</v>
      </c>
      <c r="C46" s="11" t="str">
        <f t="shared" si="0"/>
        <v>E</v>
      </c>
      <c r="J46" t="s">
        <v>194</v>
      </c>
      <c r="K46" s="1">
        <v>0</v>
      </c>
      <c r="L46" s="12" t="str">
        <f t="shared" si="1"/>
        <v>0</v>
      </c>
    </row>
    <row r="47" spans="1:18">
      <c r="A47" t="s">
        <v>114</v>
      </c>
      <c r="B47">
        <f>IF(G5=0,(I14),ROUNDUP((I14)/2,0))</f>
        <v>12</v>
      </c>
      <c r="C47" s="11" t="str">
        <f t="shared" si="0"/>
        <v>C</v>
      </c>
    </row>
    <row r="48" spans="1:18">
      <c r="A48" t="s">
        <v>115</v>
      </c>
      <c r="B48">
        <f>IF(G5=0,(I30),ROUNDUP((I30)/2,0))</f>
        <v>1</v>
      </c>
      <c r="C48" s="11" t="str">
        <f t="shared" si="0"/>
        <v>1</v>
      </c>
      <c r="J48" t="s">
        <v>195</v>
      </c>
      <c r="K48">
        <f>G3</f>
        <v>0</v>
      </c>
      <c r="L48" s="12" t="str">
        <f t="shared" si="1"/>
        <v>0</v>
      </c>
    </row>
    <row r="49" spans="1:12">
      <c r="A49" t="s">
        <v>116</v>
      </c>
      <c r="B49">
        <f>IF(G5=0,(I31),ROUNDUP((I31)/2,0))</f>
        <v>1</v>
      </c>
      <c r="C49" s="11" t="str">
        <f t="shared" si="0"/>
        <v>1</v>
      </c>
      <c r="J49" t="s">
        <v>196</v>
      </c>
      <c r="K49">
        <f>G12</f>
        <v>0</v>
      </c>
      <c r="L49" s="12" t="str">
        <f t="shared" si="1"/>
        <v>0</v>
      </c>
    </row>
    <row r="50" spans="1:12">
      <c r="J50" t="s">
        <v>197</v>
      </c>
      <c r="K50" s="1">
        <v>1</v>
      </c>
      <c r="L50" s="12" t="str">
        <f t="shared" si="1"/>
        <v>1</v>
      </c>
    </row>
    <row r="51" spans="1:12">
      <c r="A51" t="s">
        <v>117</v>
      </c>
      <c r="B51">
        <f>IF(G5=0,ROUNDUP(I32/32,0),ROUNDUP(ROUNDUP(I32/2,0)/32,0))</f>
        <v>18</v>
      </c>
      <c r="C51" s="11" t="str">
        <f t="shared" si="0"/>
        <v>12</v>
      </c>
      <c r="J51" t="s">
        <v>198</v>
      </c>
      <c r="K51" s="1">
        <v>0</v>
      </c>
      <c r="L51" s="12" t="str">
        <f t="shared" si="1"/>
        <v>0</v>
      </c>
    </row>
    <row r="52" spans="1:12">
      <c r="A52" t="s">
        <v>118</v>
      </c>
      <c r="B52" s="18">
        <f>IF(G5=0,ROUNDUP(I41/N2,0),ROUNDUP(ROUNDUP(I41/N2,0)/2,0)+1)</f>
        <v>9</v>
      </c>
      <c r="C52" s="11" t="str">
        <f t="shared" si="0"/>
        <v>9</v>
      </c>
      <c r="J52" t="s">
        <v>199</v>
      </c>
      <c r="K52" s="1">
        <v>4</v>
      </c>
      <c r="L52" s="12" t="str">
        <f t="shared" si="1"/>
        <v>4</v>
      </c>
    </row>
    <row r="53" spans="1:12">
      <c r="A53" t="s">
        <v>119</v>
      </c>
      <c r="B53">
        <f>IF(G5=0,ROUNDUP(I36/N2,0),ROUNDUP(ROUNDUP(I36/N2,0)/2,0))</f>
        <v>1</v>
      </c>
      <c r="C53" s="11" t="str">
        <f t="shared" si="0"/>
        <v>1</v>
      </c>
      <c r="J53" t="s">
        <v>200</v>
      </c>
      <c r="K53" s="1">
        <v>0</v>
      </c>
      <c r="L53" s="12" t="str">
        <f t="shared" si="1"/>
        <v>0</v>
      </c>
    </row>
    <row r="54" spans="1:12">
      <c r="A54" t="s">
        <v>120</v>
      </c>
      <c r="B54">
        <f>IF(G5=0,I38,ROUNDUP(I38/2,0))</f>
        <v>14</v>
      </c>
      <c r="C54" s="11" t="str">
        <f t="shared" si="0"/>
        <v>E</v>
      </c>
      <c r="J54" t="s">
        <v>201</v>
      </c>
      <c r="K54">
        <v>0</v>
      </c>
      <c r="L54" s="12" t="str">
        <f t="shared" si="1"/>
        <v>0</v>
      </c>
    </row>
    <row r="55" spans="1:12">
      <c r="J55" t="s">
        <v>202</v>
      </c>
      <c r="K55">
        <v>0</v>
      </c>
      <c r="L55" s="12" t="str">
        <f t="shared" si="1"/>
        <v>0</v>
      </c>
    </row>
    <row r="56" spans="1:12">
      <c r="A56" t="s">
        <v>121</v>
      </c>
      <c r="B56">
        <f>IF(G5=0,(I14+I1+I2),ROUNDUP((I14+I1+I2)/2,0))</f>
        <v>12</v>
      </c>
      <c r="C56" s="11" t="str">
        <f t="shared" si="0"/>
        <v>C</v>
      </c>
      <c r="J56" t="s">
        <v>4</v>
      </c>
      <c r="K56">
        <f>IF(G2=0,0,IF(N1&lt;=2133,1,IF(N1&lt;=2666,2,IF(N1&lt;=3200,3,"N/A"))))</f>
        <v>0</v>
      </c>
      <c r="L56" s="12" t="str">
        <f t="shared" si="1"/>
        <v>0</v>
      </c>
    </row>
    <row r="57" spans="1:12">
      <c r="A57" s="8" t="s">
        <v>122</v>
      </c>
      <c r="B57" s="8">
        <v>2</v>
      </c>
      <c r="C57" s="13" t="str">
        <f t="shared" si="0"/>
        <v>2</v>
      </c>
    </row>
    <row r="58" spans="1:12">
      <c r="A58" t="s">
        <v>123</v>
      </c>
      <c r="B58">
        <f>IF(G5=0,I40,ROUNDUP(I40/2,0))</f>
        <v>8</v>
      </c>
      <c r="C58" s="11" t="str">
        <f t="shared" si="0"/>
        <v>8</v>
      </c>
      <c r="J58" t="s">
        <v>203</v>
      </c>
      <c r="K58">
        <f>IF(I16=4,0,IF(I16=5,1,IF(I16=6,2,IF(I16=7,3,IF(I16=8,4,"N/A")))))</f>
        <v>3</v>
      </c>
      <c r="L58" s="12" t="str">
        <f t="shared" si="1"/>
        <v>3</v>
      </c>
    </row>
    <row r="59" spans="1:12">
      <c r="J59" t="s">
        <v>204</v>
      </c>
      <c r="K59" s="1">
        <v>0</v>
      </c>
      <c r="L59" s="12" t="str">
        <f t="shared" si="1"/>
        <v>0</v>
      </c>
    </row>
    <row r="60" spans="1:12">
      <c r="A60" s="8" t="s">
        <v>124</v>
      </c>
      <c r="B60" s="8">
        <v>28</v>
      </c>
      <c r="C60" s="13" t="str">
        <f t="shared" si="0"/>
        <v>1C</v>
      </c>
      <c r="J60" t="s">
        <v>205</v>
      </c>
      <c r="K60" s="1">
        <v>0</v>
      </c>
      <c r="L60" s="12" t="str">
        <f t="shared" si="1"/>
        <v>0</v>
      </c>
    </row>
    <row r="61" spans="1:12">
      <c r="A61" s="8" t="s">
        <v>125</v>
      </c>
      <c r="B61" s="8">
        <v>32</v>
      </c>
      <c r="C61" s="13" t="str">
        <f t="shared" si="0"/>
        <v>20</v>
      </c>
      <c r="J61" t="s">
        <v>206</v>
      </c>
      <c r="K61" s="1">
        <v>27</v>
      </c>
      <c r="L61" s="12" t="str">
        <f t="shared" si="1"/>
        <v>1B</v>
      </c>
    </row>
    <row r="62" spans="1:12">
      <c r="A62" s="8" t="s">
        <v>126</v>
      </c>
      <c r="B62" s="8">
        <v>4</v>
      </c>
      <c r="C62" s="13" t="str">
        <f t="shared" si="0"/>
        <v>4</v>
      </c>
    </row>
    <row r="63" spans="1:12">
      <c r="A63" s="8"/>
      <c r="B63" s="8"/>
      <c r="C63" s="13"/>
    </row>
    <row r="64" spans="1:12">
      <c r="A64" s="8" t="s">
        <v>127</v>
      </c>
      <c r="B64" s="8">
        <v>160</v>
      </c>
      <c r="C64" s="13" t="str">
        <f t="shared" si="0"/>
        <v>A0</v>
      </c>
    </row>
    <row r="66" spans="1:3">
      <c r="A66" t="s">
        <v>128</v>
      </c>
      <c r="C66" s="11" t="str">
        <f t="shared" ref="C66:C76" si="3">DEC2HEX(B66)</f>
        <v>0</v>
      </c>
    </row>
    <row r="67" spans="1:3">
      <c r="A67" t="s">
        <v>129</v>
      </c>
      <c r="C67" s="11" t="str">
        <f t="shared" si="3"/>
        <v>0</v>
      </c>
    </row>
    <row r="68" spans="1:3">
      <c r="A68" t="s">
        <v>130</v>
      </c>
      <c r="C68" s="11" t="str">
        <f t="shared" si="3"/>
        <v>0</v>
      </c>
    </row>
    <row r="70" spans="1:3">
      <c r="A70" t="s">
        <v>131</v>
      </c>
      <c r="C70" s="11" t="str">
        <f t="shared" si="3"/>
        <v>0</v>
      </c>
    </row>
    <row r="71" spans="1:3">
      <c r="A71" t="s">
        <v>132</v>
      </c>
      <c r="C71" s="11" t="str">
        <f t="shared" si="3"/>
        <v>0</v>
      </c>
    </row>
    <row r="72" spans="1:3">
      <c r="A72" t="s">
        <v>133</v>
      </c>
      <c r="C72" s="11" t="str">
        <f t="shared" si="3"/>
        <v>0</v>
      </c>
    </row>
    <row r="73" spans="1:3">
      <c r="A73" t="s">
        <v>134</v>
      </c>
      <c r="C73" s="11" t="str">
        <f t="shared" si="3"/>
        <v>0</v>
      </c>
    </row>
    <row r="75" spans="1:3">
      <c r="A75" s="8" t="s">
        <v>135</v>
      </c>
      <c r="B75" s="8">
        <v>0</v>
      </c>
      <c r="C75" s="13" t="str">
        <f t="shared" si="3"/>
        <v>0</v>
      </c>
    </row>
    <row r="76" spans="1:3">
      <c r="A76" s="8" t="s">
        <v>136</v>
      </c>
      <c r="B76" s="8">
        <v>0</v>
      </c>
      <c r="C76" s="13" t="str">
        <f t="shared" si="3"/>
        <v>0</v>
      </c>
    </row>
    <row r="78" spans="1:3">
      <c r="A78" s="7" t="s">
        <v>207</v>
      </c>
      <c r="B78">
        <v>7</v>
      </c>
    </row>
    <row r="79" spans="1:3" ht="25.5">
      <c r="A79" s="7" t="s">
        <v>208</v>
      </c>
      <c r="B79">
        <v>0</v>
      </c>
    </row>
    <row r="80" spans="1:3">
      <c r="A80" s="7" t="s">
        <v>209</v>
      </c>
    </row>
    <row r="81" spans="1:1" ht="25.5">
      <c r="A81" s="7" t="s">
        <v>210</v>
      </c>
    </row>
    <row r="82" spans="1:1">
      <c r="A82" s="7" t="s">
        <v>211</v>
      </c>
    </row>
    <row r="83" spans="1:1">
      <c r="A83" s="7" t="s">
        <v>212</v>
      </c>
    </row>
    <row r="85" spans="1:1">
      <c r="A85" s="7" t="s">
        <v>213</v>
      </c>
    </row>
    <row r="86" spans="1:1">
      <c r="A86" s="7" t="s">
        <v>214</v>
      </c>
    </row>
    <row r="87" spans="1:1" ht="25.5">
      <c r="A87" s="7" t="s">
        <v>215</v>
      </c>
    </row>
    <row r="88" spans="1:1" ht="25.5">
      <c r="A88" s="7" t="s">
        <v>216</v>
      </c>
    </row>
    <row r="89" spans="1:1" ht="25.5">
      <c r="A89" s="7" t="s">
        <v>217</v>
      </c>
    </row>
    <row r="91" spans="1:1">
      <c r="A91" s="7" t="s">
        <v>218</v>
      </c>
    </row>
    <row r="92" spans="1:1">
      <c r="A92" s="7" t="s">
        <v>219</v>
      </c>
    </row>
    <row r="94" spans="1:1" ht="25.5">
      <c r="A94" s="7" t="s">
        <v>220</v>
      </c>
    </row>
    <row r="96" spans="1:1">
      <c r="A96" s="7" t="s">
        <v>221</v>
      </c>
    </row>
    <row r="97" spans="1:1" ht="25.5">
      <c r="A97" s="7" t="s">
        <v>222</v>
      </c>
    </row>
    <row r="98" spans="1:1">
      <c r="A98" s="7" t="s">
        <v>223</v>
      </c>
    </row>
    <row r="99" spans="1:1">
      <c r="A99" s="7" t="s">
        <v>224</v>
      </c>
    </row>
    <row r="100" spans="1:1">
      <c r="A100" s="7" t="s">
        <v>225</v>
      </c>
    </row>
    <row r="101" spans="1:1" ht="25.5">
      <c r="A101" s="7" t="s">
        <v>226</v>
      </c>
    </row>
    <row r="102" spans="1:1" ht="25.5">
      <c r="A102" s="7" t="s">
        <v>227</v>
      </c>
    </row>
    <row r="103" spans="1:1">
      <c r="A103" s="7" t="s">
        <v>228</v>
      </c>
    </row>
    <row r="104" spans="1:1" ht="25.5">
      <c r="A104" s="7" t="s">
        <v>229</v>
      </c>
    </row>
  </sheetData>
  <pageMargins left="0.7" right="0.7" top="0.75" bottom="0.75" header="0.3" footer="0.3"/>
  <pageSetup paperSize="9" orientation="portrait" horizontalDpi="4294967294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version1</vt:lpstr>
      <vt:lpstr>version2</vt:lpstr>
      <vt:lpstr>version3</vt:lpstr>
      <vt:lpstr>MR_analysis</vt:lpstr>
      <vt:lpstr>1600</vt:lpstr>
      <vt:lpstr>2666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2020-04-18T09:25:42Z</dcterms:modified>
</cp:coreProperties>
</file>