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/>
  </bookViews>
  <sheets>
    <sheet name="base" sheetId="1" r:id="rId1"/>
  </sheets>
  <calcPr calcId="152511"/>
</workbook>
</file>

<file path=xl/calcChain.xml><?xml version="1.0" encoding="utf-8"?>
<calcChain xmlns="http://schemas.openxmlformats.org/spreadsheetml/2006/main">
  <c r="C76" i="1" l="1"/>
  <c r="C75" i="1"/>
  <c r="C73" i="1"/>
  <c r="C72" i="1"/>
  <c r="C71" i="1"/>
  <c r="C70" i="1"/>
  <c r="C68" i="1"/>
  <c r="C67" i="1"/>
  <c r="C66" i="1"/>
  <c r="C64" i="1"/>
  <c r="C62" i="1"/>
  <c r="C61" i="1"/>
  <c r="C60" i="1"/>
  <c r="C57" i="1"/>
  <c r="B42" i="1"/>
  <c r="C42" i="1" s="1"/>
  <c r="B41" i="1"/>
  <c r="C41" i="1" s="1"/>
  <c r="S35" i="1"/>
  <c r="I35" i="1"/>
  <c r="I34" i="1"/>
  <c r="I31" i="1"/>
  <c r="B49" i="1" s="1"/>
  <c r="C31" i="1"/>
  <c r="I30" i="1"/>
  <c r="B48" i="1" s="1"/>
  <c r="C48" i="1" s="1"/>
  <c r="C30" i="1"/>
  <c r="C29" i="1"/>
  <c r="S33" i="1"/>
  <c r="I26" i="1"/>
  <c r="I24" i="1" s="1"/>
  <c r="B38" i="1" s="1"/>
  <c r="C38" i="1" s="1"/>
  <c r="I25" i="1"/>
  <c r="I23" i="1"/>
  <c r="I22" i="1"/>
  <c r="S19" i="1"/>
  <c r="S18" i="1"/>
  <c r="S31" i="1"/>
  <c r="S17" i="1"/>
  <c r="S16" i="1"/>
  <c r="B16" i="1"/>
  <c r="C16" i="1" s="1"/>
  <c r="S15" i="1"/>
  <c r="I15" i="1"/>
  <c r="C15" i="1"/>
  <c r="I12" i="1"/>
  <c r="I10" i="1"/>
  <c r="I11" i="1" s="1"/>
  <c r="S8" i="1"/>
  <c r="I7" i="1"/>
  <c r="I6" i="1"/>
  <c r="E6" i="1" s="1"/>
  <c r="E5" i="1"/>
  <c r="I4" i="1"/>
  <c r="E4" i="1"/>
  <c r="B2" i="1" s="1"/>
  <c r="C2" i="1" s="1"/>
  <c r="I3" i="1"/>
  <c r="O2" i="1"/>
  <c r="I19" i="1" s="1"/>
  <c r="I1" i="1"/>
  <c r="B4" i="1" l="1"/>
  <c r="C4" i="1" s="1"/>
  <c r="B8" i="1"/>
  <c r="C8" i="1" s="1"/>
  <c r="B19" i="1"/>
  <c r="C19" i="1" s="1"/>
  <c r="B3" i="1"/>
  <c r="C3" i="1" s="1"/>
  <c r="B37" i="1"/>
  <c r="C37" i="1" s="1"/>
  <c r="I32" i="1"/>
  <c r="B51" i="1" s="1"/>
  <c r="C51" i="1" s="1"/>
  <c r="I36" i="1"/>
  <c r="B53" i="1" s="1"/>
  <c r="C53" i="1" s="1"/>
  <c r="I9" i="1"/>
  <c r="C49" i="1"/>
  <c r="S32" i="1"/>
  <c r="I14" i="1"/>
  <c r="S34" i="1"/>
  <c r="I16" i="1"/>
  <c r="I18" i="1"/>
  <c r="B24" i="1" s="1"/>
  <c r="B22" i="1"/>
  <c r="I33" i="1"/>
  <c r="B39" i="1"/>
  <c r="E7" i="1"/>
  <c r="B7" i="1" s="1"/>
  <c r="C7" i="1" s="1"/>
  <c r="I2" i="1"/>
  <c r="E1" i="1" s="1"/>
  <c r="I29" i="1"/>
  <c r="I20" i="1"/>
  <c r="I40" i="1"/>
  <c r="B58" i="1" s="1"/>
  <c r="B52" i="1"/>
  <c r="C52" i="1" s="1"/>
  <c r="I17" i="1"/>
  <c r="B21" i="1" s="1"/>
  <c r="C21" i="1" s="1"/>
  <c r="I28" i="1"/>
  <c r="B43" i="1" s="1"/>
  <c r="C43" i="1" s="1"/>
  <c r="I8" i="1"/>
  <c r="B6" i="1" s="1"/>
  <c r="C6" i="1" s="1"/>
  <c r="B44" i="1" l="1"/>
  <c r="S3" i="1"/>
  <c r="B10" i="1"/>
  <c r="C10" i="1" s="1"/>
  <c r="B1" i="1"/>
  <c r="S30" i="1"/>
  <c r="B56" i="1"/>
  <c r="C56" i="1" s="1"/>
  <c r="B47" i="1"/>
  <c r="I38" i="1"/>
  <c r="B54" i="1" s="1"/>
  <c r="B46" i="1"/>
  <c r="C46" i="1" s="1"/>
  <c r="B17" i="1"/>
  <c r="I39" i="1"/>
  <c r="B34" i="1"/>
  <c r="C24" i="1"/>
  <c r="B20" i="1"/>
  <c r="C20" i="1" s="1"/>
  <c r="C58" i="1"/>
  <c r="B11" i="1"/>
  <c r="C11" i="1" s="1"/>
  <c r="B12" i="1"/>
  <c r="C12" i="1" s="1"/>
  <c r="B36" i="1"/>
  <c r="C36" i="1" s="1"/>
  <c r="C39" i="1"/>
  <c r="B13" i="1"/>
  <c r="B25" i="1"/>
  <c r="B27" i="1"/>
  <c r="I21" i="1"/>
  <c r="B26" i="1" s="1"/>
  <c r="C26" i="1" s="1"/>
  <c r="S6" i="1"/>
  <c r="C22" i="1"/>
  <c r="S10" i="1" l="1"/>
  <c r="S13" i="1"/>
  <c r="C54" i="1"/>
  <c r="S7" i="1"/>
  <c r="C27" i="1"/>
  <c r="S14" i="1"/>
  <c r="S11" i="1"/>
  <c r="C44" i="1"/>
  <c r="B33" i="1"/>
  <c r="C33" i="1" s="1"/>
  <c r="C25" i="1"/>
  <c r="C13" i="1"/>
  <c r="S4" i="1"/>
  <c r="C47" i="1"/>
  <c r="S12" i="1"/>
  <c r="C34" i="1"/>
  <c r="C1" i="1"/>
  <c r="S2" i="1"/>
  <c r="S36" i="1"/>
  <c r="S5" i="1"/>
  <c r="C17" i="1"/>
  <c r="S9" i="1" l="1"/>
</calcChain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F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2T mode
1: 1T mode</t>
        </r>
      </text>
    </comment>
    <comment ref="H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N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MTs</t>
        </r>
      </text>
    </comment>
    <comment ref="F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enable</t>
        </r>
      </text>
    </comment>
    <comment ref="H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N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D3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F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enable</t>
        </r>
      </text>
    </comment>
    <comment ref="H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D4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F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CL-1
2: CL-2</t>
        </r>
      </text>
    </comment>
    <comment ref="H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D5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unit:ns</t>
        </r>
      </text>
    </comment>
    <comment ref="F5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0: 1:1; 
1: 1:2.</t>
        </r>
      </text>
    </comment>
    <comment ref="H5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unit: us</t>
        </r>
      </text>
    </comment>
    <comment ref="D6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F6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0: 0.5k;
1: 1k; 
2: 2k</t>
        </r>
      </text>
    </comment>
    <comment ref="H6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0~85 </t>
        </r>
      </text>
    </comment>
    <comment ref="D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F7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0: 1x mode;
1: 2x mode;
2: 4x mode;</t>
        </r>
      </text>
    </comment>
    <comment ref="H7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85 ~95</t>
        </r>
      </text>
    </comment>
    <comment ref="D8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0 = No
1 = Yes</t>
        </r>
      </text>
    </comment>
    <comment ref="H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CK</t>
        </r>
      </text>
    </comment>
    <comment ref="F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H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1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I10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Jedec : always 15</t>
        </r>
      </text>
    </comment>
    <comment ref="F1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2T mode
1: 1T mode</t>
        </r>
      </text>
    </comment>
    <comment ref="H1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F1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enable</t>
        </r>
      </text>
    </comment>
    <comment ref="H1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F1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disable
1: enable</t>
        </r>
      </text>
    </comment>
    <comment ref="H1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1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1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H16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H17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H1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1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2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H2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ns</t>
        </r>
      </text>
    </comment>
    <comment ref="H2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uint: tCK</t>
        </r>
      </text>
    </comment>
    <comment ref="H28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H29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
</t>
        </r>
      </text>
    </comment>
    <comment ref="H30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H31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H32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H33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H34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ps</t>
        </r>
      </text>
    </comment>
    <comment ref="H35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ps</t>
        </r>
      </text>
    </comment>
    <comment ref="H36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  <comment ref="H37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H38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H39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H40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tCK</t>
        </r>
      </text>
    </comment>
    <comment ref="H41" authorId="0" shape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uint: ns</t>
        </r>
      </text>
    </comment>
  </commentList>
</comments>
</file>

<file path=xl/sharedStrings.xml><?xml version="1.0" encoding="utf-8"?>
<sst xmlns="http://schemas.openxmlformats.org/spreadsheetml/2006/main" count="176" uniqueCount="175">
  <si>
    <t>wr2pre</t>
  </si>
  <si>
    <t>wl</t>
  </si>
  <si>
    <t>write 1T mode</t>
  </si>
  <si>
    <t>AL</t>
  </si>
  <si>
    <t>data_rate</t>
  </si>
  <si>
    <t>t_faw</t>
  </si>
  <si>
    <t>bl</t>
  </si>
  <si>
    <t>CA parity eanble</t>
  </si>
  <si>
    <t>PL</t>
  </si>
  <si>
    <t>Tck</t>
  </si>
  <si>
    <t>DRAMTMG0</t>
  </si>
  <si>
    <t>t_ras_max</t>
  </si>
  <si>
    <t>tWR</t>
  </si>
  <si>
    <t>read-dbi</t>
  </si>
  <si>
    <t>CWL</t>
  </si>
  <si>
    <t>DRAMTMG1</t>
  </si>
  <si>
    <t>t_ras_min</t>
  </si>
  <si>
    <t>tFAW</t>
  </si>
  <si>
    <t>AL_MR</t>
  </si>
  <si>
    <t>CL</t>
  </si>
  <si>
    <t>DRAMTMG2</t>
  </si>
  <si>
    <t>tRAS_min</t>
  </si>
  <si>
    <t>freq_ratio 
0: 1:1; 1: 1:2.</t>
  </si>
  <si>
    <t>tREFI_base</t>
  </si>
  <si>
    <t>DRAMTMG3</t>
  </si>
  <si>
    <t>t_xp</t>
  </si>
  <si>
    <t>tRAS_max</t>
  </si>
  <si>
    <t>page size
0: 0.5k; 1:1k; 2:2k</t>
  </si>
  <si>
    <t>tREFI</t>
  </si>
  <si>
    <t>DRAMTMG4</t>
  </si>
  <si>
    <t>rd2pre</t>
  </si>
  <si>
    <t>RL</t>
  </si>
  <si>
    <t>refresh mode</t>
  </si>
  <si>
    <t>DLL reset</t>
  </si>
  <si>
    <t>DRAMTMG5</t>
  </si>
  <si>
    <t>t_rc</t>
  </si>
  <si>
    <t>CWL-ALT</t>
  </si>
  <si>
    <t>tXP</t>
  </si>
  <si>
    <t>DRAMTMG6</t>
  </si>
  <si>
    <t>tRFC4</t>
  </si>
  <si>
    <t xml:space="preserve">tRTP </t>
  </si>
  <si>
    <t>DRAMTMG7</t>
  </si>
  <si>
    <t>write_latency</t>
  </si>
  <si>
    <t>tRFC(tRFC1)</t>
  </si>
  <si>
    <t xml:space="preserve">tRP </t>
  </si>
  <si>
    <t>DRAMTMG8</t>
  </si>
  <si>
    <t>read_latency</t>
  </si>
  <si>
    <t>read 1T mode</t>
  </si>
  <si>
    <t>tRC</t>
  </si>
  <si>
    <t>DRAMTMG9</t>
  </si>
  <si>
    <t>rd2wr</t>
  </si>
  <si>
    <t>write-dbi</t>
  </si>
  <si>
    <t>tWTR_L</t>
  </si>
  <si>
    <t>DRAMTMG10</t>
  </si>
  <si>
    <t>wr2rd</t>
  </si>
  <si>
    <t>data mask</t>
  </si>
  <si>
    <t>tMRD</t>
  </si>
  <si>
    <t>DRAMTMG11</t>
  </si>
  <si>
    <t>tMOD</t>
  </si>
  <si>
    <t>DRAMTMG12</t>
  </si>
  <si>
    <t>t_mrw</t>
  </si>
  <si>
    <t>tRCD</t>
  </si>
  <si>
    <t>DRAMTMG13</t>
  </si>
  <si>
    <t>t_mrd</t>
  </si>
  <si>
    <t>tCCD_L</t>
  </si>
  <si>
    <t>DRAMTMG14</t>
  </si>
  <si>
    <t>t_mod</t>
  </si>
  <si>
    <t>tRRD_L</t>
  </si>
  <si>
    <t>DRAMTMG15</t>
  </si>
  <si>
    <t>tCKSRX</t>
  </si>
  <si>
    <t>DRAMTMG16</t>
  </si>
  <si>
    <t>t_rcd</t>
  </si>
  <si>
    <t>tCKSRE</t>
  </si>
  <si>
    <t>DRAMTMG17</t>
  </si>
  <si>
    <t>t_ccd</t>
  </si>
  <si>
    <t>tCKE</t>
  </si>
  <si>
    <t>t_rrd</t>
  </si>
  <si>
    <t>tCKESR</t>
  </si>
  <si>
    <t>t_rp</t>
  </si>
  <si>
    <t>tXS_FAST</t>
  </si>
  <si>
    <t>tXS_ABORT</t>
  </si>
  <si>
    <t>t_cksrx</t>
  </si>
  <si>
    <t>tXSDLL</t>
  </si>
  <si>
    <t>DFITIMG0</t>
  </si>
  <si>
    <t>t_cksre</t>
  </si>
  <si>
    <t>tXS</t>
  </si>
  <si>
    <t>DFITIMG1</t>
  </si>
  <si>
    <t>t_ckesr</t>
  </si>
  <si>
    <t>tDLLK</t>
  </si>
  <si>
    <t>DFITIMG2</t>
  </si>
  <si>
    <t>t_cke</t>
  </si>
  <si>
    <t>tCCD_S</t>
  </si>
  <si>
    <t>DFITIMG3</t>
  </si>
  <si>
    <t xml:space="preserve"> </t>
  </si>
  <si>
    <t>tRRD_S</t>
  </si>
  <si>
    <t>t_ckdpde</t>
  </si>
  <si>
    <t>tWTR_S</t>
  </si>
  <si>
    <t>t_ckdpdx</t>
  </si>
  <si>
    <t>tGEAR_teup</t>
  </si>
  <si>
    <t>MR0</t>
  </si>
  <si>
    <t>t_ckcsx</t>
  </si>
  <si>
    <t>tGEAR_hold</t>
  </si>
  <si>
    <t>MR1</t>
  </si>
  <si>
    <t>t XMPDLL</t>
  </si>
  <si>
    <t>MR2</t>
  </si>
  <si>
    <t>t_ckpde</t>
  </si>
  <si>
    <t>tMPX_LH_max</t>
  </si>
  <si>
    <t>MR3</t>
  </si>
  <si>
    <t>t_ckpdx</t>
  </si>
  <si>
    <t>t IS</t>
  </si>
  <si>
    <t>MR4</t>
  </si>
  <si>
    <t>t IH</t>
  </si>
  <si>
    <t>MR5</t>
  </si>
  <si>
    <t>t_xs_fast_x32</t>
  </si>
  <si>
    <t>t MPX_S</t>
  </si>
  <si>
    <t>MR6</t>
  </si>
  <si>
    <t>t_xs_abort_x32</t>
  </si>
  <si>
    <t>t CPDED</t>
  </si>
  <si>
    <t>t_xs_dll_x32</t>
  </si>
  <si>
    <t>t CKMPE</t>
  </si>
  <si>
    <t>t_xs_x32</t>
  </si>
  <si>
    <t>t MR_MPR</t>
  </si>
  <si>
    <t>tMRD_PDA</t>
  </si>
  <si>
    <t>ddr4_wr_preamble</t>
  </si>
  <si>
    <t>tMPX_LH_min</t>
  </si>
  <si>
    <t>t_ccd_s</t>
  </si>
  <si>
    <t>t_rrd_s</t>
  </si>
  <si>
    <t>wr2rd_s</t>
  </si>
  <si>
    <t>t_sync_gear</t>
  </si>
  <si>
    <t>t_cmd_gear</t>
  </si>
  <si>
    <t>t_gear_stetup</t>
  </si>
  <si>
    <t>t_gear_hold</t>
  </si>
  <si>
    <t>post_mpsm_gap_x32</t>
  </si>
  <si>
    <t>t_mpx_lh</t>
  </si>
  <si>
    <t>t_mpx_s</t>
  </si>
  <si>
    <t>t_ckmpe</t>
  </si>
  <si>
    <t>t_wr_mpr</t>
  </si>
  <si>
    <t>t_cmdcke</t>
  </si>
  <si>
    <t>t_mrd_pda</t>
  </si>
  <si>
    <t>odtloff</t>
  </si>
  <si>
    <t>t_ccd_mw</t>
  </si>
  <si>
    <t>t_ppd</t>
  </si>
  <si>
    <t>t_xsr</t>
  </si>
  <si>
    <t>en_dfi_lp_t_stab</t>
  </si>
  <si>
    <t>en_hwffc_t_stab</t>
  </si>
  <si>
    <t>t_stab_x32</t>
  </si>
  <si>
    <t>t_rp_ca_parity</t>
  </si>
  <si>
    <t>t_rfaw_dlr</t>
  </si>
  <si>
    <t>t_rrd_dlr</t>
  </si>
  <si>
    <t>t_ccd_dlr</t>
  </si>
  <si>
    <t>t_vrcg_enable</t>
  </si>
  <si>
    <t>t_vrcg_disable</t>
  </si>
  <si>
    <t>dfi_t_ctrl_delay</t>
  </si>
  <si>
    <t>dfi_rddata_use_dfi_phy_clk</t>
  </si>
  <si>
    <t>dfi_t_rddata_en</t>
  </si>
  <si>
    <t>dfi_wrdata_use_dfi_phy_clk</t>
  </si>
  <si>
    <t>dfi_tphy_wrdata</t>
  </si>
  <si>
    <t>dfi_tphy_wrlat</t>
  </si>
  <si>
    <t>dfi_t_cmd_lat</t>
  </si>
  <si>
    <t>dfi_t_parin_lat</t>
  </si>
  <si>
    <t>dfi_t_wrdata_delay</t>
  </si>
  <si>
    <t>dfi_t_dram_clk_disable</t>
  </si>
  <si>
    <t>dfi_t_dram_clk_enable</t>
  </si>
  <si>
    <t>dfi_tphy_rdcslat</t>
  </si>
  <si>
    <t>dfi_tphy_wrcslat</t>
  </si>
  <si>
    <t>dfi_t_geardown_delay</t>
  </si>
  <si>
    <t>dfi_frequency</t>
  </si>
  <si>
    <t>lp_optimized_write</t>
  </si>
  <si>
    <t>dis_dyn_adr_tri</t>
  </si>
  <si>
    <t>dfi_init_start</t>
  </si>
  <si>
    <t>ctl_idle_en</t>
  </si>
  <si>
    <t>share_dfi_dram_clk_disable</t>
  </si>
  <si>
    <t>dfi_data_cs_polarity</t>
  </si>
  <si>
    <t>phy_dbi_mode</t>
  </si>
  <si>
    <t>dfi_init_complete_en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</si>
</sst>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Helvetica"/>
    </font>
    <font>
      <sz val="9"/>
      <color rgb="FF231F20"/>
      <name val="Frutiger-Black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"/>
    </font>
    <font>
      <sz val="9"/>
      <color indexed="81"/>
      <name val="宋体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right" vertical="top"/>
    </xf>
    <xf numFmtId="0" fontId="0" fillId="2" borderId="1" xfId="0" applyFill="1" applyBorder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NumberFormat="1" applyProtection="1">
      <protection locked="0"/>
    </xf>
    <xf numFmtId="0" fontId="2" fillId="2" borderId="1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0" xfId="0" applyBorder="1"/>
    <xf numFmtId="0" fontId="2" fillId="3" borderId="0" xfId="0" applyFont="1" applyFill="1" applyBorder="1"/>
    <xf numFmtId="0" fontId="4" fillId="0" borderId="0" xfId="0" applyFont="1" applyBorder="1" applyAlignment="1">
      <alignment vertical="center" wrapText="1"/>
    </xf>
    <xf numFmtId="0" fontId="0" fillId="4" borderId="1" xfId="0" applyFill="1" applyBorder="1"/>
    <xf numFmtId="0" fontId="5" fillId="0" borderId="0" xfId="0" applyFont="1" applyBorder="1" applyAlignment="1">
      <alignment vertical="center" wrapText="1"/>
    </xf>
    <xf numFmtId="0" fontId="3" fillId="3" borderId="0" xfId="0" applyFont="1" applyFill="1"/>
    <xf numFmtId="0" fontId="4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219075</xdr:colOff>
      <xdr:row>12</xdr:row>
      <xdr:rowOff>19050</xdr:rowOff>
    </xdr:from>
    <xdr:to>
      <xdr:col>33</xdr:col>
      <xdr:colOff>303875</xdr:colOff>
      <xdr:row>28</xdr:row>
      <xdr:rowOff>66240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2900" y="2314575"/>
          <a:ext cx="7400000" cy="3095190"/>
        </a:xfrm>
        <a:prstGeom prst="rect">
          <a:avLst/>
        </a:prstGeom>
      </xdr:spPr>
    </xdr:pic>
    <xdr:clientData/>
  </xdr:twoCellAnchor>
  <xdr:twoCellAnchor editAs="oneCell">
    <xdr:from>
      <xdr:col>21</xdr:col>
      <xdr:colOff>228600</xdr:colOff>
      <xdr:row>30</xdr:row>
      <xdr:rowOff>28575</xdr:rowOff>
    </xdr:from>
    <xdr:to>
      <xdr:col>33</xdr:col>
      <xdr:colOff>294352</xdr:colOff>
      <xdr:row>59</xdr:row>
      <xdr:rowOff>94537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92425" y="5753100"/>
          <a:ext cx="7380952" cy="5590462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59</xdr:row>
      <xdr:rowOff>180975</xdr:rowOff>
    </xdr:from>
    <xdr:to>
      <xdr:col>33</xdr:col>
      <xdr:colOff>265783</xdr:colOff>
      <xdr:row>86</xdr:row>
      <xdr:rowOff>199346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11475" y="11430000"/>
          <a:ext cx="7333333" cy="5428571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88</xdr:row>
      <xdr:rowOff>57150</xdr:rowOff>
    </xdr:from>
    <xdr:to>
      <xdr:col>33</xdr:col>
      <xdr:colOff>265783</xdr:colOff>
      <xdr:row>112</xdr:row>
      <xdr:rowOff>123145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11475" y="17364075"/>
          <a:ext cx="7333333" cy="5438095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121</xdr:row>
      <xdr:rowOff>161925</xdr:rowOff>
    </xdr:from>
    <xdr:to>
      <xdr:col>33</xdr:col>
      <xdr:colOff>265784</xdr:colOff>
      <xdr:row>148</xdr:row>
      <xdr:rowOff>27949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621000" y="24555450"/>
          <a:ext cx="7323809" cy="50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147</xdr:row>
      <xdr:rowOff>180975</xdr:rowOff>
    </xdr:from>
    <xdr:to>
      <xdr:col>33</xdr:col>
      <xdr:colOff>275307</xdr:colOff>
      <xdr:row>177</xdr:row>
      <xdr:rowOff>65975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11475" y="29527500"/>
          <a:ext cx="7342857" cy="560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228600</xdr:colOff>
      <xdr:row>177</xdr:row>
      <xdr:rowOff>47625</xdr:rowOff>
    </xdr:from>
    <xdr:to>
      <xdr:col>33</xdr:col>
      <xdr:colOff>275305</xdr:colOff>
      <xdr:row>206</xdr:row>
      <xdr:rowOff>113601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92425" y="35109150"/>
          <a:ext cx="7361905" cy="5590476"/>
        </a:xfrm>
        <a:prstGeom prst="rect">
          <a:avLst/>
        </a:prstGeom>
      </xdr:spPr>
    </xdr:pic>
    <xdr:clientData/>
  </xdr:twoCellAnchor>
  <xdr:twoCellAnchor editAs="oneCell">
    <xdr:from>
      <xdr:col>21</xdr:col>
      <xdr:colOff>228600</xdr:colOff>
      <xdr:row>206</xdr:row>
      <xdr:rowOff>104775</xdr:rowOff>
    </xdr:from>
    <xdr:to>
      <xdr:col>33</xdr:col>
      <xdr:colOff>275305</xdr:colOff>
      <xdr:row>228</xdr:row>
      <xdr:rowOff>161394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592425" y="40690800"/>
          <a:ext cx="7361905" cy="4247619"/>
        </a:xfrm>
        <a:prstGeom prst="rect">
          <a:avLst/>
        </a:prstGeom>
      </xdr:spPr>
    </xdr:pic>
    <xdr:clientData/>
  </xdr:twoCellAnchor>
  <xdr:twoCellAnchor editAs="oneCell">
    <xdr:from>
      <xdr:col>21</xdr:col>
      <xdr:colOff>228600</xdr:colOff>
      <xdr:row>228</xdr:row>
      <xdr:rowOff>123825</xdr:rowOff>
    </xdr:from>
    <xdr:to>
      <xdr:col>33</xdr:col>
      <xdr:colOff>265781</xdr:colOff>
      <xdr:row>258</xdr:row>
      <xdr:rowOff>46920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592425" y="44900850"/>
          <a:ext cx="7352381" cy="5638095"/>
        </a:xfrm>
        <a:prstGeom prst="rect">
          <a:avLst/>
        </a:prstGeom>
      </xdr:spPr>
    </xdr:pic>
    <xdr:clientData/>
  </xdr:twoCellAnchor>
  <xdr:twoCellAnchor editAs="oneCell">
    <xdr:from>
      <xdr:col>21</xdr:col>
      <xdr:colOff>219075</xdr:colOff>
      <xdr:row>258</xdr:row>
      <xdr:rowOff>38100</xdr:rowOff>
    </xdr:from>
    <xdr:to>
      <xdr:col>33</xdr:col>
      <xdr:colOff>265780</xdr:colOff>
      <xdr:row>287</xdr:row>
      <xdr:rowOff>104076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82900" y="50530125"/>
          <a:ext cx="7361905" cy="5590476"/>
        </a:xfrm>
        <a:prstGeom prst="rect">
          <a:avLst/>
        </a:prstGeom>
      </xdr:spPr>
    </xdr:pic>
    <xdr:clientData/>
  </xdr:twoCellAnchor>
  <xdr:twoCellAnchor editAs="oneCell">
    <xdr:from>
      <xdr:col>21</xdr:col>
      <xdr:colOff>228600</xdr:colOff>
      <xdr:row>287</xdr:row>
      <xdr:rowOff>76200</xdr:rowOff>
    </xdr:from>
    <xdr:to>
      <xdr:col>33</xdr:col>
      <xdr:colOff>256257</xdr:colOff>
      <xdr:row>317</xdr:row>
      <xdr:rowOff>46914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592425" y="56092725"/>
          <a:ext cx="7342857" cy="5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"/>
  <sheetViews>
    <sheetView tabSelected="1" topLeftCell="T1" workbookViewId="0">
      <selection activeCell="J22" sqref="J22"/>
    </sheetView>
  </sheetViews>
  <sheetFormatPr defaultRowHeight="15"/>
  <cols>
    <col min="1" max="1" width="15.42578125" customWidth="1"/>
    <col min="2" max="2" width="5.85546875" customWidth="1"/>
    <col min="3" max="3" width="4.85546875" style="2" customWidth="1"/>
    <col min="5" max="5" width="6.85546875" customWidth="1"/>
    <col min="6" max="6" width="15.7109375" bestFit="1" customWidth="1"/>
    <col min="8" max="8" width="10.5703125" bestFit="1" customWidth="1"/>
    <col min="10" max="10" width="45.140625" bestFit="1" customWidth="1"/>
    <col min="11" max="11" width="8.5703125" customWidth="1"/>
    <col min="12" max="12" width="4.140625" customWidth="1"/>
    <col min="13" max="13" width="4.7109375" style="4" customWidth="1"/>
    <col min="18" max="18" width="12.42578125" bestFit="1" customWidth="1"/>
    <col min="19" max="19" width="10" bestFit="1" customWidth="1"/>
  </cols>
  <sheetData>
    <row r="1" spans="1:21">
      <c r="A1" t="s">
        <v>0</v>
      </c>
      <c r="B1">
        <f>IF((G1=1),ROUNDDOWN(((((E1+(E2/2))*O2)+(E3))/O2/2),0),(ROUNDUP(((((E1+(E2/2))*O2)+(E3))/O2/2),0)))</f>
        <v>23</v>
      </c>
      <c r="C1" s="2" t="str">
        <f>DEC2HEX(B1)</f>
        <v>17</v>
      </c>
      <c r="D1" t="s">
        <v>1</v>
      </c>
      <c r="E1">
        <f>(I1+I2+I3)</f>
        <v>18</v>
      </c>
      <c r="F1" t="s">
        <v>2</v>
      </c>
      <c r="G1" s="3">
        <v>0</v>
      </c>
      <c r="H1" t="s">
        <v>3</v>
      </c>
      <c r="I1">
        <f>IF(G4=0,0,I4-G4)</f>
        <v>0</v>
      </c>
      <c r="N1" t="s">
        <v>4</v>
      </c>
      <c r="O1" s="3">
        <v>3200</v>
      </c>
      <c r="P1" s="3"/>
      <c r="Q1" s="3"/>
      <c r="R1" s="3"/>
      <c r="S1" s="3"/>
      <c r="T1" s="3"/>
      <c r="U1" s="3"/>
    </row>
    <row r="2" spans="1:21">
      <c r="A2" t="s">
        <v>5</v>
      </c>
      <c r="B2">
        <f>IF(G5=1,ROUNDUP(E4/O2/2,0),ROUNDDOWN(E4/O2,0))</f>
        <v>24</v>
      </c>
      <c r="C2" s="2" t="str">
        <f t="shared" ref="C2:C64" si="0">DEC2HEX(B2)</f>
        <v>18</v>
      </c>
      <c r="D2" t="s">
        <v>6</v>
      </c>
      <c r="E2" s="3">
        <v>8</v>
      </c>
      <c r="F2" t="s">
        <v>7</v>
      </c>
      <c r="G2" s="3">
        <v>0</v>
      </c>
      <c r="H2" t="s">
        <v>8</v>
      </c>
      <c r="I2">
        <f>IF(L1=0,0,(IF(L1=1,(4),(IF(L1=2,(5),(IF(L1=3,(6),("FRU"))))))))</f>
        <v>0</v>
      </c>
      <c r="N2" t="s">
        <v>9</v>
      </c>
      <c r="O2">
        <f>2000/O1</f>
        <v>0.625</v>
      </c>
      <c r="R2" s="5" t="s">
        <v>10</v>
      </c>
      <c r="S2" s="5" t="str">
        <f>DEC2HEX(B4+B3*POWER(2,8)+B2*POWER(2,16)+B1*POWER(2,24),8)</f>
        <v>17183619</v>
      </c>
    </row>
    <row r="3" spans="1:21">
      <c r="A3" t="s">
        <v>11</v>
      </c>
      <c r="B3">
        <f>IF(G5=1,(ROUNDDOWN(ROUNDDOWN((((E6/O2/1024)-1)/2),0),0)),(ROUNDDOWN((E6/O2/1024),0)))</f>
        <v>54</v>
      </c>
      <c r="C3" s="2" t="str">
        <f t="shared" si="0"/>
        <v>36</v>
      </c>
      <c r="D3" t="s">
        <v>12</v>
      </c>
      <c r="E3">
        <v>15</v>
      </c>
      <c r="F3" t="s">
        <v>13</v>
      </c>
      <c r="G3" s="3">
        <v>0</v>
      </c>
      <c r="H3" t="s">
        <v>14</v>
      </c>
      <c r="I3">
        <f>IF(G8,(IF(G1,(IF(O1&lt;=1600,(11),(IF(O1&lt;=1866,(12),(IF(O1&lt;=2133,(14),(IF(O1&lt;=2400,(16),(IF(O1&lt;=2666,(18),(IF(O1&lt;=2933,(20),(IF(O1&lt;=3200,(20),(12))))))))))))))),(IF(O1&lt;=1600,("N/A"),(IF(O1&lt;=1866,("N/A"),(IF(O1&lt;=2133,("N/A"),(IF(O1&lt;=2400,(16),(IF(O1&lt;=2666,(18),(IF(O1&lt;=2933,(20),(IF(O1&lt;=3200,(20),(12))))))))))))))))),(IF(G1,(IF(O1&lt;=1600,(9),(IF(O1&lt;=1866,(10),(IF(O1&lt;=2133,(11),(IF(O1&lt;=2400,(12),(IF(O1&lt;=2666,(14),(IF(O1&lt;=2933,(16),(IF(O1&lt;=3200,(16),("N/A"))))))))))))))),(IF(O1&lt;=1600,("N/A"),(IF(O1&lt;=1866,("N/A"),(IF(O1&lt;=2133,("N/A"),(IF(O1&lt;=2400,(14),(IF(O1&lt;=2666,(16),(IF(O1&lt;=2933,(18),(IF(O1&lt;=3200,(18),("N/A"))))))))))))))))))</f>
        <v>18</v>
      </c>
      <c r="R3" s="5" t="s">
        <v>15</v>
      </c>
      <c r="S3" s="5" t="str">
        <f>DEC2HEX(B8+B7*POWER(2,8)+B6*POWER(2,16),8)</f>
        <v>00050626</v>
      </c>
    </row>
    <row r="4" spans="1:21">
      <c r="A4" t="s">
        <v>16</v>
      </c>
      <c r="B4">
        <f>IF(G5=1,IF(G1,ROUNDDOWN((E5/O2/2),0),ROUNDDOWN(E5/O2/2,0)),ROUNDUP(E5/O2,0))</f>
        <v>25</v>
      </c>
      <c r="C4" s="2" t="str">
        <f t="shared" si="0"/>
        <v>19</v>
      </c>
      <c r="D4" t="s">
        <v>17</v>
      </c>
      <c r="E4" s="1">
        <f>IF((G6=2),(IF((O1&lt;=2400),(IF(((28*O2)-35&gt;0),(ROUNDUP((28*O2),0)),(35))),(IF(((28*O2)-30&gt;0),(ROUNDUP((28*O2),0)),(30))))),IF((G6=1),(IF((O1&lt;=2400),(IF(((20*O2)-25&gt;0),(ROUNDUP((20*O2),0)),(25))),(IF(((20*O2)-21&gt;0),(ROUNDUP((20*O2),0)),(21))))),IF((G6=0),(IF((O1&lt;=2400),(IF(((16*O2)-20&gt;0),(ROUNDUP((16*O2),0)),(20))),(IF(((16*O2)-12&gt;0),(ROUNDUP((16*O2),0)),(12))))),"N/A")))</f>
        <v>30</v>
      </c>
      <c r="F4" t="s">
        <v>18</v>
      </c>
      <c r="G4" s="3">
        <v>0</v>
      </c>
      <c r="H4" t="s">
        <v>19</v>
      </c>
      <c r="I4">
        <f>IF(G3,(IF(O1&lt;=1600,(14),(IF(O1&lt;=1866,(16),(IF(O1&lt;=2133,(19),(IF(O1&lt;=2400,(21),(IF(O1&lt;=2666,(23),(IF(O1&lt;=2933,(26),(IF(O1&lt;=3200,(28),("N/A"))))))))))))))),(IF(O1&lt;=1600,(12),(IF(O1&lt;=1866,(14),(IF(O1&lt;=2133,(16),(IF(O1&lt;=2400,(18),(IF(O1&lt;=2666,(20),(IF(O1&lt;=2933,(22),(IF(O1&lt;=3200,(24),("N/A"))))))))))))))))</f>
        <v>24</v>
      </c>
      <c r="R4" s="5" t="s">
        <v>20</v>
      </c>
      <c r="S4" s="5" t="str">
        <f>DEC2HEX(B13+B12*POWER(2,8)+B11*POWER(2,16)+B10*POWER(2,24),8)</f>
        <v>090C0712</v>
      </c>
    </row>
    <row r="5" spans="1:21" ht="13.5" customHeight="1">
      <c r="D5" s="6" t="s">
        <v>21</v>
      </c>
      <c r="E5">
        <f>(IF(O1&lt;=1600,(35),(IF(O1&lt;=1866,(34),(IF(O1&lt;=2133,(33),(IF(O1&lt;=2400,(32),(IF(O1&lt;=2666,(32),(IF(O1&lt;=2933,(32),(IF(O1&lt;=3200,(32),("N/A")))))))))))))))</f>
        <v>32</v>
      </c>
      <c r="F5" s="1" t="s">
        <v>22</v>
      </c>
      <c r="G5" s="3">
        <v>1</v>
      </c>
      <c r="H5" t="s">
        <v>23</v>
      </c>
      <c r="I5">
        <v>7.8</v>
      </c>
      <c r="R5" s="5" t="s">
        <v>24</v>
      </c>
      <c r="S5" s="5" t="str">
        <f>DEC2HEX(B17+B16*POWER(2,12)+B15*POWER(2,20),8)</f>
        <v>0050400C</v>
      </c>
    </row>
    <row r="6" spans="1:21" ht="17.25" customHeight="1">
      <c r="A6" t="s">
        <v>25</v>
      </c>
      <c r="B6">
        <f>ROUNDUP(IF(G2,(IF(G5,(I8/2),ROUNDUP(I8/2,0)))+I2,(IF(G5,(I8/2),ROUNDUP(I8/2,0)))),0)</f>
        <v>5</v>
      </c>
      <c r="C6" s="2" t="str">
        <f t="shared" si="0"/>
        <v>5</v>
      </c>
      <c r="D6" s="6" t="s">
        <v>26</v>
      </c>
      <c r="E6">
        <f>9*I6*1000</f>
        <v>70200</v>
      </c>
      <c r="F6" s="7" t="s">
        <v>27</v>
      </c>
      <c r="G6" s="3">
        <v>2</v>
      </c>
      <c r="H6" t="s">
        <v>28</v>
      </c>
      <c r="I6">
        <f>(I5/(POWER(2,G7)))</f>
        <v>7.8</v>
      </c>
      <c r="R6" s="5" t="s">
        <v>29</v>
      </c>
      <c r="S6" s="5" t="str">
        <f>DEC2HEX(B22+B21*POWER(2,8)+B20*POWER(2,16)+B19*POWER(2,24),8)</f>
        <v>0C04060D</v>
      </c>
    </row>
    <row r="7" spans="1:21">
      <c r="A7" t="s">
        <v>30</v>
      </c>
      <c r="B7">
        <f>IF(G5=0,(IF((I9+I1)-(E7+E2/2-(ROUNDUP(I10/O2,0)))&gt;0,(I9+I1),(E7+E2/2-(ROUNDUP(I10/O2,0))))),(IF(G1=1,ROUNDDOWN(IF((I9+I1)-(E7+E2/2-(ROUNDUP(I10/O2,0)))&gt;0,(I9+I1),(E7+E2/2-(ROUNDUP(I10/O2,0))))/2,0),ROUNDUP((IF((I9+I1)-(E7+E2/2-(ROUNDUP(I10/O2,0)))&gt;0,(I9+I1),(E7+E2/2-(ROUNDUP(I10/O2,0)))))/2,0))))</f>
        <v>6</v>
      </c>
      <c r="C7" s="2" t="str">
        <f t="shared" si="0"/>
        <v>6</v>
      </c>
      <c r="D7" t="s">
        <v>31</v>
      </c>
      <c r="E7">
        <f>I1+I4</f>
        <v>24</v>
      </c>
      <c r="F7" t="s">
        <v>32</v>
      </c>
      <c r="G7" s="3">
        <v>0</v>
      </c>
      <c r="H7" t="s">
        <v>28</v>
      </c>
      <c r="I7">
        <f>(I5/(POWER(2,G7+1)))</f>
        <v>3.9</v>
      </c>
      <c r="R7" s="5" t="s">
        <v>34</v>
      </c>
      <c r="S7" s="5" t="str">
        <f>DEC2HEX(B27+B26*POWER(2,8)+B25*POWER(2,16)+B24*POWER(2,24),8)</f>
        <v>08080504</v>
      </c>
    </row>
    <row r="8" spans="1:21">
      <c r="A8" t="s">
        <v>35</v>
      </c>
      <c r="B8">
        <f>IF(G5=0,ROUNDUP(I11/O2,0),IF(G1=1,ROUNDDOWN(ROUNDUP(I11/O2,0)/2,0),ROUNDUP(ROUNDUP(I11/O2,0)/2,0)))</f>
        <v>38</v>
      </c>
      <c r="C8" s="2" t="str">
        <f t="shared" si="0"/>
        <v>26</v>
      </c>
      <c r="D8" t="s">
        <v>33</v>
      </c>
      <c r="E8">
        <v>0</v>
      </c>
      <c r="F8" t="s">
        <v>36</v>
      </c>
      <c r="G8" s="3">
        <v>0</v>
      </c>
      <c r="H8" s="8" t="s">
        <v>37</v>
      </c>
      <c r="I8">
        <f>ROUNDUP(IF(((6/O2)-4)&gt;0,(6/O2),4),0)</f>
        <v>10</v>
      </c>
      <c r="R8" s="9" t="s">
        <v>38</v>
      </c>
      <c r="S8" s="9" t="str">
        <f>DEC2HEX(B31+B30*POWER(2,16)+B29*POWER(2,24),8)</f>
        <v>02020005</v>
      </c>
    </row>
    <row r="9" spans="1:21">
      <c r="F9" t="s">
        <v>39</v>
      </c>
      <c r="G9" s="3">
        <v>110</v>
      </c>
      <c r="H9" s="6" t="s">
        <v>40</v>
      </c>
      <c r="I9">
        <f>ROUNDUP(IF(((7.5/O2)-4)&gt;0,(7.5/O2),4),0)</f>
        <v>12</v>
      </c>
      <c r="R9" s="9" t="s">
        <v>41</v>
      </c>
      <c r="S9" s="9" t="str">
        <f>DEC2HEX(B34+B33*POWER(2,8),8)</f>
        <v>00000808</v>
      </c>
    </row>
    <row r="10" spans="1:21">
      <c r="A10" t="s">
        <v>42</v>
      </c>
      <c r="B10">
        <f>IF(G5=0,E1,ROUNDUP(E1/2,0))</f>
        <v>9</v>
      </c>
      <c r="C10" s="2" t="str">
        <f t="shared" si="0"/>
        <v>9</v>
      </c>
      <c r="F10" t="s">
        <v>43</v>
      </c>
      <c r="G10" s="3">
        <v>260</v>
      </c>
      <c r="H10" s="6" t="s">
        <v>44</v>
      </c>
      <c r="I10">
        <f>IF(1,15,(IF(O1&lt;=1600,(15),(IF(O1&lt;=1866,(15),(IF(O1&lt;=2133,(15),(IF(O1&lt;=2400,(14.16),(IF(O1&lt;=2666,(14.25),(IF(O1&lt;=2933,(15),(IF(O1&lt;=3200,(15),("N/A"))))))))))))))))</f>
        <v>15</v>
      </c>
      <c r="L10" s="3"/>
      <c r="R10" s="5" t="s">
        <v>45</v>
      </c>
      <c r="S10" s="5" t="str">
        <f>DEC2HEX(B39+B38*POWER(2,8)+B37*POWER(2,16)+B36*POWER(2,24),8)</f>
        <v>03031005</v>
      </c>
    </row>
    <row r="11" spans="1:21">
      <c r="A11" t="s">
        <v>46</v>
      </c>
      <c r="B11">
        <f>IF(G5=0,E7,ROUNDUP(E7/2,0))</f>
        <v>12</v>
      </c>
      <c r="C11" s="2" t="str">
        <f t="shared" si="0"/>
        <v>C</v>
      </c>
      <c r="F11" t="s">
        <v>47</v>
      </c>
      <c r="G11" s="3">
        <v>0</v>
      </c>
      <c r="H11" t="s">
        <v>48</v>
      </c>
      <c r="I11">
        <f>E5+I10</f>
        <v>47</v>
      </c>
      <c r="L11" s="3"/>
      <c r="R11" s="5" t="s">
        <v>49</v>
      </c>
      <c r="S11" s="5" t="str">
        <f>DEC2HEX(B44+B43*POWER(2,8)+B42*POWER(2,16)+B41*POWER(2,30),8)</f>
        <v>4002050E</v>
      </c>
    </row>
    <row r="12" spans="1:21">
      <c r="A12" t="s">
        <v>50</v>
      </c>
      <c r="B12">
        <f>IF(G5=0,(E7+E2/2+1+IF(G1=0,2,1)-E1),ROUNDUP((E7+E2/2+1+IF(G1=0,2,1)-E1)/2,0))</f>
        <v>7</v>
      </c>
      <c r="C12" s="2" t="str">
        <f t="shared" si="0"/>
        <v>7</v>
      </c>
      <c r="F12" t="s">
        <v>51</v>
      </c>
      <c r="G12" s="3">
        <v>0</v>
      </c>
      <c r="H12" t="s">
        <v>52</v>
      </c>
      <c r="I12">
        <f>ROUNDUP(IF(((7.5/O2)-4)&gt;0,(7.5/O2),4),0)</f>
        <v>12</v>
      </c>
      <c r="R12" s="5" t="s">
        <v>53</v>
      </c>
      <c r="S12" s="5" t="str">
        <f>DEC2HEX(B49+B47*POWER(2,8)+B46*POWER(2,16)+B48*POWER(2,2),8)</f>
        <v>000E0C05</v>
      </c>
    </row>
    <row r="13" spans="1:21">
      <c r="A13" t="s">
        <v>54</v>
      </c>
      <c r="B13">
        <f>IF(G5=0,(I3+I2+E2/2+I12+IF(G1=0,1,0)),ROUNDUP((I3+I2+E2/2+I12+IF(G1=0,1,0))/2,0))</f>
        <v>18</v>
      </c>
      <c r="C13" s="2" t="str">
        <f t="shared" si="0"/>
        <v>12</v>
      </c>
      <c r="F13" t="s">
        <v>55</v>
      </c>
      <c r="G13" s="3">
        <v>1</v>
      </c>
      <c r="H13" t="s">
        <v>56</v>
      </c>
      <c r="I13">
        <v>8</v>
      </c>
      <c r="L13" s="3"/>
      <c r="R13" s="5" t="s">
        <v>57</v>
      </c>
      <c r="S13" s="5" t="str">
        <f>DEC2HEX(B54+B53*POWER(2,8)+B52*POWER(2,16)+B51*POWER(2,24),8)</f>
        <v>150B010E</v>
      </c>
    </row>
    <row r="14" spans="1:21">
      <c r="H14" t="s">
        <v>58</v>
      </c>
      <c r="I14">
        <f>ROUNDUP(IF(((15/O2)-24)&gt;0,(15/O2),24),0)</f>
        <v>24</v>
      </c>
      <c r="L14" s="3"/>
      <c r="R14" s="5" t="s">
        <v>59</v>
      </c>
      <c r="S14" s="5" t="str">
        <f>DEC2HEX(B58+B57*POWER(2,16)+B56*POWER(2,24),8)</f>
        <v>0C020008</v>
      </c>
    </row>
    <row r="15" spans="1:21">
      <c r="A15" s="10" t="s">
        <v>60</v>
      </c>
      <c r="B15" s="10">
        <v>5</v>
      </c>
      <c r="C15" s="11" t="str">
        <f t="shared" si="0"/>
        <v>5</v>
      </c>
      <c r="H15" t="s">
        <v>61</v>
      </c>
      <c r="I15">
        <f>IF(1,15,(IF(O1&lt;=1600,(15),(IF(O1&lt;=1866,(15),(IF(O1&lt;=2133,(15),(IF(O1&lt;=2400,(14.16),(IF(O1&lt;=2666,(14.25),(IF(O1&lt;=2933,(15),(IF(O1&lt;=3200,(15),("N/A"))))))))))))))))</f>
        <v>15</v>
      </c>
      <c r="L15" s="3"/>
      <c r="R15" s="9" t="s">
        <v>62</v>
      </c>
      <c r="S15" s="9" t="str">
        <f>DEC2HEX(B62+B61*POWER(2,16)+B60*POWER(2,24),8)</f>
        <v>1C200004</v>
      </c>
    </row>
    <row r="16" spans="1:21">
      <c r="A16" t="s">
        <v>63</v>
      </c>
      <c r="B16">
        <f>IF(G5=0,I13,ROUNDUP(I13/2,0))</f>
        <v>4</v>
      </c>
      <c r="C16" s="2" t="str">
        <f t="shared" si="0"/>
        <v>4</v>
      </c>
      <c r="H16" t="s">
        <v>64</v>
      </c>
      <c r="I16">
        <f>ROUNDUP(IF((((IF(O1&lt;=1600,(6.25),(IF(O1&lt;=1866,(5.355),(IF(O1&lt;=2400,(5),(5)))))))/O2)-4)&gt;0,((IF(O1&lt;=1600,(6.25),(IF(O1&lt;=1866,(5.355),(IF(O1&lt;=2400,(5),(5)))))))/O2),4),0)</f>
        <v>8</v>
      </c>
      <c r="L16" s="12"/>
      <c r="R16" s="9" t="s">
        <v>65</v>
      </c>
      <c r="S16" s="9" t="str">
        <f>DEC2HEX(B64,8)</f>
        <v>000000A0</v>
      </c>
    </row>
    <row r="17" spans="1:20">
      <c r="A17" t="s">
        <v>66</v>
      </c>
      <c r="B17">
        <f>IF(G5=0,I14,ROUNDUP(I14/2,0))</f>
        <v>12</v>
      </c>
      <c r="C17" s="2" t="str">
        <f t="shared" si="0"/>
        <v>C</v>
      </c>
      <c r="H17" t="s">
        <v>67</v>
      </c>
      <c r="I17">
        <f>ROUNDUP(IF(((IF(G6=2,(IF(O1&lt;=1600,(7.5),(6.4))),(IF(O1&lt;=1600,(6),(IF(O1&lt;=2133,(5.3),(4.9))))))/O2)&gt;4),(IF(G6=2,(IF(O1&lt;=1600,(7.5),(6.4))),(IF(O1&lt;=1600,(6),(IF(O1&lt;=2133,(5.3),(4.9))))))/O2),4),0)</f>
        <v>11</v>
      </c>
      <c r="L17" s="12"/>
      <c r="R17" s="5" t="s">
        <v>68</v>
      </c>
      <c r="S17" s="5" t="str">
        <f>DEC2HEX(B68+B67*POWER(2,24)+B66*POWER(2,31),8)</f>
        <v>00000000</v>
      </c>
    </row>
    <row r="18" spans="1:20">
      <c r="H18" t="s">
        <v>69</v>
      </c>
      <c r="I18">
        <f>ROUNDUP(IF(((10/O2)-5)&gt;0,(10/O2),5),0)</f>
        <v>16</v>
      </c>
      <c r="L18" s="12"/>
      <c r="R18" s="5" t="s">
        <v>70</v>
      </c>
      <c r="S18" s="5" t="str">
        <f t="shared" ref="S18:S19" si="1">DEC2HEX(B69+B68*POWER(2,24)+B67*POWER(2,31),8)</f>
        <v>00000000</v>
      </c>
    </row>
    <row r="19" spans="1:20">
      <c r="A19" t="s">
        <v>71</v>
      </c>
      <c r="B19">
        <f>IF(G5=0,IF((ROUNDUP(I15/O2,0)-I1)&gt;0,ROUNDUP(I15/O2,0),I1),ROUNDUP(IF((ROUNDUP(I15/O2,0)-I1)&gt;0,ROUNDUP(I15/O2,0),I1)/2,0))</f>
        <v>12</v>
      </c>
      <c r="C19" s="2" t="str">
        <f t="shared" si="0"/>
        <v>C</v>
      </c>
      <c r="H19" t="s">
        <v>72</v>
      </c>
      <c r="I19">
        <f>ROUNDUP(IF(((10/O2)-5)&gt;0,(10/O2),5),0)</f>
        <v>16</v>
      </c>
      <c r="L19" s="12"/>
      <c r="R19" s="9" t="s">
        <v>73</v>
      </c>
      <c r="S19" s="9" t="str">
        <f t="shared" si="1"/>
        <v>00000000</v>
      </c>
    </row>
    <row r="20" spans="1:20">
      <c r="A20" t="s">
        <v>74</v>
      </c>
      <c r="B20">
        <f>IF(G5=0,I16,ROUNDUP(I16/2,0))</f>
        <v>4</v>
      </c>
      <c r="C20" s="2" t="str">
        <f t="shared" si="0"/>
        <v>4</v>
      </c>
      <c r="H20" t="s">
        <v>75</v>
      </c>
      <c r="I20">
        <f>ROUNDUP(IF(((5/O2)-3)&gt;0,(5/O2),3),0)</f>
        <v>8</v>
      </c>
      <c r="L20" s="3"/>
      <c r="Q20" s="13"/>
      <c r="R20" s="14"/>
      <c r="S20" s="14"/>
      <c r="T20" s="13"/>
    </row>
    <row r="21" spans="1:20">
      <c r="A21" t="s">
        <v>76</v>
      </c>
      <c r="B21">
        <f>IF(G5=0,I17,ROUNDUP(I17/2,0))</f>
        <v>6</v>
      </c>
      <c r="C21" s="2" t="str">
        <f t="shared" si="0"/>
        <v>6</v>
      </c>
      <c r="H21" t="s">
        <v>77</v>
      </c>
      <c r="I21">
        <f>I20+1</f>
        <v>9</v>
      </c>
    </row>
    <row r="22" spans="1:20">
      <c r="A22" t="s">
        <v>78</v>
      </c>
      <c r="B22">
        <f>IF(G5=0,ROUNDUP(I10/O2,0),ROUNDUP(ROUNDUP(I10/O2,0)/2,0)+1)</f>
        <v>13</v>
      </c>
      <c r="C22" s="2" t="str">
        <f t="shared" si="0"/>
        <v>D</v>
      </c>
      <c r="H22" t="s">
        <v>79</v>
      </c>
      <c r="I22">
        <f>G9+10</f>
        <v>120</v>
      </c>
      <c r="L22" s="3"/>
    </row>
    <row r="23" spans="1:20">
      <c r="H23" t="s">
        <v>80</v>
      </c>
      <c r="I23">
        <f>G9+10</f>
        <v>120</v>
      </c>
    </row>
    <row r="24" spans="1:20">
      <c r="A24" t="s">
        <v>81</v>
      </c>
      <c r="B24">
        <f>IF(G5=0,I18,ROUNDUP(I18/2,0))</f>
        <v>8</v>
      </c>
      <c r="C24" s="2" t="str">
        <f t="shared" si="0"/>
        <v>8</v>
      </c>
      <c r="H24" t="s">
        <v>82</v>
      </c>
      <c r="I24">
        <f>I26</f>
        <v>1024</v>
      </c>
      <c r="L24" s="3"/>
      <c r="R24" t="s">
        <v>83</v>
      </c>
    </row>
    <row r="25" spans="1:20">
      <c r="A25" t="s">
        <v>84</v>
      </c>
      <c r="B25">
        <f>IF(G5=0,I19+I2,ROUNDUP((I19+I2)/2,0))</f>
        <v>8</v>
      </c>
      <c r="C25" s="2" t="str">
        <f t="shared" si="0"/>
        <v>8</v>
      </c>
      <c r="H25" t="s">
        <v>85</v>
      </c>
      <c r="I25">
        <f>G10+10</f>
        <v>270</v>
      </c>
      <c r="R25" t="s">
        <v>86</v>
      </c>
    </row>
    <row r="26" spans="1:20">
      <c r="A26" t="s">
        <v>87</v>
      </c>
      <c r="B26">
        <f>IF(G5=0,I21+I2,ROUNDUP((I21+I2)/2,0))</f>
        <v>5</v>
      </c>
      <c r="C26" s="2" t="str">
        <f t="shared" si="0"/>
        <v>5</v>
      </c>
      <c r="H26" t="s">
        <v>88</v>
      </c>
      <c r="I26">
        <f>(IF(O1&lt;=1600,(597),(IF(O1&lt;=1866,(597),(IF(O1&lt;=2133,(768),(IF(O1&lt;=2400,(768),(IF(O1&lt;=2666,(854),(IF(O1&lt;=2933,(940),(IF(O1&lt;=3200,(1024),("N/A")))))))))))))))</f>
        <v>1024</v>
      </c>
      <c r="R26" t="s">
        <v>89</v>
      </c>
    </row>
    <row r="27" spans="1:20">
      <c r="A27" t="s">
        <v>90</v>
      </c>
      <c r="B27">
        <f>IF(G5=0,I20,ROUNDUP(I20/2,0))</f>
        <v>4</v>
      </c>
      <c r="C27" s="2" t="str">
        <f t="shared" si="0"/>
        <v>4</v>
      </c>
      <c r="H27" s="15" t="s">
        <v>91</v>
      </c>
      <c r="I27">
        <v>4</v>
      </c>
      <c r="L27" s="3"/>
      <c r="R27" t="s">
        <v>92</v>
      </c>
    </row>
    <row r="28" spans="1:20">
      <c r="E28" t="s">
        <v>93</v>
      </c>
      <c r="H28" t="s">
        <v>94</v>
      </c>
      <c r="I28" s="1">
        <f>IF(ROUNDUP(IF(G6=2,(IF(O1&lt;=1600,(6),(IF(O1&lt;=3200,(5.3),("N/A"))))),(IF(O1&lt;=1600,(5),(IF(O1&lt;=1866,(4.2),(IF(O1&lt;=2133,(3.7),(IF(O1&lt;=2400,(3.3),(IF(O1&lt;=2666,(3),(IF(O1&lt;=2933,(2.7),(IF(O1&lt;=3200,(2.5),("N/A"))))))))))))))))/O2,0)-4&gt;0,ROUNDUP(IF(G6=2,(IF(O1&lt;=1600,(6),(IF(O1&lt;=3200,(5.3),("N/A"))))),(IF(O1&lt;=1600,(5),(IF(O1&lt;=1866,(4.2),(IF(O1&lt;=2133,(3.7),(IF(O1&lt;=2400,(3.3),(IF(O1&lt;=2666,(3),(IF(O1&lt;=2933,(2.7),(IF(O1&lt;=3200,(2.5),("N/A"))))))))))))))))/O2,0),4)</f>
        <v>9</v>
      </c>
      <c r="J28" s="1"/>
      <c r="K28" s="1"/>
    </row>
    <row r="29" spans="1:20">
      <c r="A29" s="10" t="s">
        <v>95</v>
      </c>
      <c r="B29" s="10">
        <v>2</v>
      </c>
      <c r="C29" s="11" t="str">
        <f t="shared" si="0"/>
        <v>2</v>
      </c>
      <c r="H29" t="s">
        <v>96</v>
      </c>
      <c r="I29">
        <f>ROUNDUP(IF(((2.5/O2)-2)&gt;0,(2.5/O2),2),0)+IF(G1=0,1,0)</f>
        <v>5</v>
      </c>
      <c r="L29" s="3"/>
    </row>
    <row r="30" spans="1:20">
      <c r="A30" s="10" t="s">
        <v>97</v>
      </c>
      <c r="B30" s="10">
        <v>2</v>
      </c>
      <c r="C30" s="11" t="str">
        <f t="shared" si="0"/>
        <v>2</v>
      </c>
      <c r="H30" t="s">
        <v>98</v>
      </c>
      <c r="I30">
        <f>(IF(O1&lt;=2400,("N/A"),(IF(O1&lt;=3200,(2),("N/A")))))</f>
        <v>2</v>
      </c>
      <c r="L30" s="3"/>
      <c r="R30" s="16" t="s">
        <v>99</v>
      </c>
      <c r="S30" s="16" t="str">
        <f>DEC2HEX(L11+L10*POWER(2,3)+(INT(MOD(L9,16)/2))*POWER(2,4)+(MOD(L9,2))*POWER(2,2)+(INT(L9/16))*POWER(2,12)+L8*POWER(2,7)+L7*POWER(2,8)+L6*POWER(2,9)+L5*POWER(2,13),4)</f>
        <v>0000</v>
      </c>
    </row>
    <row r="31" spans="1:20">
      <c r="A31" s="10" t="s">
        <v>100</v>
      </c>
      <c r="B31" s="10">
        <v>5</v>
      </c>
      <c r="C31" s="11" t="str">
        <f t="shared" si="0"/>
        <v>5</v>
      </c>
      <c r="H31" t="s">
        <v>101</v>
      </c>
      <c r="I31">
        <f>(IF(O1&lt;=2400,("N/A"),(IF(O1&lt;=3200,(2),("N/A")))))</f>
        <v>2</v>
      </c>
      <c r="J31" s="17"/>
      <c r="K31" s="17"/>
      <c r="L31" s="3"/>
      <c r="R31" s="16" t="s">
        <v>102</v>
      </c>
      <c r="S31" s="16" t="str">
        <f>DEC2HEX(L20+L19*POWER(2,1)+L18*POWER(2,3)+L15*POWER(2,8)+L14*POWER(2,11)+L13*POWER(2,12),4)</f>
        <v>0000</v>
      </c>
    </row>
    <row r="32" spans="1:20">
      <c r="H32" t="s">
        <v>103</v>
      </c>
      <c r="I32">
        <f>I25+I24</f>
        <v>1294</v>
      </c>
      <c r="L32" s="3"/>
      <c r="R32" s="16" t="s">
        <v>104</v>
      </c>
      <c r="S32" s="16" t="str">
        <f>DEC2HEX(L25*POWER(2,3)+L24*POWER(2,6)+L23*POWER(2,9)+L22*POWER(2,12),4)</f>
        <v>0000</v>
      </c>
    </row>
    <row r="33" spans="1:19">
      <c r="A33" s="10" t="s">
        <v>105</v>
      </c>
      <c r="B33" s="10">
        <f>B25</f>
        <v>8</v>
      </c>
      <c r="C33" s="11" t="str">
        <f t="shared" si="0"/>
        <v>8</v>
      </c>
      <c r="H33" t="s">
        <v>106</v>
      </c>
      <c r="I33">
        <f>I25*O2-10</f>
        <v>158.75</v>
      </c>
      <c r="L33" s="3"/>
      <c r="R33" s="16" t="s">
        <v>107</v>
      </c>
      <c r="S33" s="16" t="str">
        <f>DEC2HEX(L34+L33*POWER(2,2)+L32*POWER(2,3)+L31*POWER(2,4)+L30*POWER(2,5)+L29*POWER(2,6)+L28*POWER(2,9)+L27*POWER(2,11),4)</f>
        <v>0000</v>
      </c>
    </row>
    <row r="34" spans="1:19">
      <c r="A34" s="10" t="s">
        <v>108</v>
      </c>
      <c r="B34" s="10">
        <f>B24</f>
        <v>8</v>
      </c>
      <c r="C34" s="11" t="str">
        <f t="shared" si="0"/>
        <v>8</v>
      </c>
      <c r="H34" t="s">
        <v>109</v>
      </c>
      <c r="I34">
        <f>(IF(O1&lt;=1600,(115),(IF(O1&lt;=1866,(100),(IF(O1&lt;=2133,(80),(IF(O1&lt;=2400,(62),(IF(O1&lt;=2666,(55),(IF(O1&lt;=2933,(48),(IF(O1&lt;=3200,(40),("N/A")))))))))))))))</f>
        <v>40</v>
      </c>
      <c r="L34" s="3"/>
      <c r="R34" s="16" t="s">
        <v>110</v>
      </c>
      <c r="S34" s="16" t="str">
        <f>DEC2HEX(L46*POWER(2,1)+L45*POWER(2,2)+L44*POWER(2,3)+L43*POWER(2,4)+L42*POWER(2,5)+L41*POWER(2,6)+L40*POWER(2,9)+L39*POWER(2,10)+L38*POWER(2,11)+L37*POWER(2,12)+L36*POWER(2,13),4)</f>
        <v>0000</v>
      </c>
    </row>
    <row r="35" spans="1:19">
      <c r="H35" t="s">
        <v>111</v>
      </c>
      <c r="I35">
        <f>(IF(O1&lt;=1600,(140),(IF(O1&lt;=1866,(125),(IF(O1&lt;=2133,(105),(IF(O1&lt;=2400,(87),(IF(O1&lt;=2666,(80),(IF(O1&lt;=2933,(73),(IF(O1&lt;=3200,(65),("N/A")))))))))))))))</f>
        <v>65</v>
      </c>
      <c r="R35" s="16" t="s">
        <v>112</v>
      </c>
      <c r="S35" s="16" t="str">
        <f>DEC2HEX(L56+L55*POWER(2,3)+L54*POWER(2,4)+L53*POWER(2,5)+L52*POWER(2,6)+L51*POWER(2,9)+L50*POWER(2,10)+L49*POWER(2,11)+L48*POWER(2,12),4)</f>
        <v>0000</v>
      </c>
    </row>
    <row r="36" spans="1:19">
      <c r="A36" t="s">
        <v>113</v>
      </c>
      <c r="B36">
        <f>IF(B39-IF(G5=0,ROUNDUP(I22/O2/32,0),ROUNDUP(I22/O2/32/2,0))&gt;0,IF(G5=0,ROUNDUP(I22/O2/32,0),ROUNDUP(I22/O2/32/2,0)),B39)</f>
        <v>3</v>
      </c>
      <c r="C36" s="2" t="str">
        <f t="shared" si="0"/>
        <v>3</v>
      </c>
      <c r="H36" t="s">
        <v>114</v>
      </c>
      <c r="I36">
        <f>(I34+I35)/1000</f>
        <v>0.105</v>
      </c>
      <c r="L36" s="3"/>
      <c r="R36" s="16" t="s">
        <v>115</v>
      </c>
      <c r="S36" s="16" t="str">
        <f>DEC2HEX(L61+L60*POWER(2,6)+L59*POWER(2,7)+L58*POWER(2,10),4)</f>
        <v>0000</v>
      </c>
    </row>
    <row r="37" spans="1:19">
      <c r="A37" t="s">
        <v>116</v>
      </c>
      <c r="B37">
        <f>IF(G5=0,I23/O2/32,ROUNDUP(I23/O2/32/2,0))</f>
        <v>3</v>
      </c>
      <c r="C37" s="2" t="str">
        <f t="shared" si="0"/>
        <v>3</v>
      </c>
      <c r="H37" t="s">
        <v>117</v>
      </c>
      <c r="I37">
        <v>4</v>
      </c>
    </row>
    <row r="38" spans="1:19">
      <c r="A38" t="s">
        <v>118</v>
      </c>
      <c r="B38">
        <f>IF(G5=0,I24/32,ROUNDUP(I24/32/2,0))</f>
        <v>16</v>
      </c>
      <c r="C38" s="2" t="str">
        <f t="shared" si="0"/>
        <v>10</v>
      </c>
      <c r="H38" t="s">
        <v>119</v>
      </c>
      <c r="I38">
        <f>I14+I37</f>
        <v>28</v>
      </c>
    </row>
    <row r="39" spans="1:19">
      <c r="A39" t="s">
        <v>120</v>
      </c>
      <c r="B39">
        <f>IF(G5=0,I25/32,ROUNDUP(I25/32/2,0))</f>
        <v>5</v>
      </c>
      <c r="C39" s="2" t="str">
        <f t="shared" si="0"/>
        <v>5</v>
      </c>
      <c r="H39" t="s">
        <v>121</v>
      </c>
      <c r="I39">
        <f>I14+I1+I2</f>
        <v>24</v>
      </c>
    </row>
    <row r="40" spans="1:19">
      <c r="H40" t="s">
        <v>122</v>
      </c>
      <c r="I40">
        <f>ROUNDUP(IF(((10/O2)-16)&gt;0,(10/O2),16),0)</f>
        <v>16</v>
      </c>
      <c r="L40" s="3"/>
    </row>
    <row r="41" spans="1:19">
      <c r="A41" t="s">
        <v>123</v>
      </c>
      <c r="B41">
        <f>IF(G1=0,1,0)</f>
        <v>1</v>
      </c>
      <c r="C41" s="2" t="str">
        <f t="shared" si="0"/>
        <v>1</v>
      </c>
      <c r="H41" t="s">
        <v>124</v>
      </c>
      <c r="I41">
        <v>12</v>
      </c>
      <c r="L41" s="3"/>
    </row>
    <row r="42" spans="1:19">
      <c r="A42" t="s">
        <v>125</v>
      </c>
      <c r="B42">
        <f>IF(G5=0,I27,ROUNDUP(I27/2,0))</f>
        <v>2</v>
      </c>
      <c r="C42" s="2" t="str">
        <f t="shared" si="0"/>
        <v>2</v>
      </c>
      <c r="L42" s="3"/>
    </row>
    <row r="43" spans="1:19">
      <c r="A43" t="s">
        <v>126</v>
      </c>
      <c r="B43">
        <f>IF(G5=0,I28,ROUNDUP(I28/2,0))</f>
        <v>5</v>
      </c>
      <c r="C43" s="2" t="str">
        <f t="shared" si="0"/>
        <v>5</v>
      </c>
      <c r="L43" s="3"/>
    </row>
    <row r="44" spans="1:19">
      <c r="A44" t="s">
        <v>127</v>
      </c>
      <c r="B44">
        <f>IF(G5=0,(I3+I2+E2/2+I29),ROUNDUP((I3+I2+E2/2+I29)/2,0))</f>
        <v>14</v>
      </c>
      <c r="C44" s="2" t="str">
        <f t="shared" si="0"/>
        <v>E</v>
      </c>
      <c r="L44" s="3"/>
    </row>
    <row r="45" spans="1:19">
      <c r="L45" s="3"/>
    </row>
    <row r="46" spans="1:19">
      <c r="A46" t="s">
        <v>128</v>
      </c>
      <c r="B46">
        <f>IF(G5=0,(I14+4),ROUNDUP((I14+4)/2,0))</f>
        <v>14</v>
      </c>
      <c r="C46" s="2" t="str">
        <f t="shared" si="0"/>
        <v>E</v>
      </c>
      <c r="L46" s="3"/>
    </row>
    <row r="47" spans="1:19">
      <c r="A47" t="s">
        <v>129</v>
      </c>
      <c r="B47">
        <f>IF(G5=0,(I14),ROUNDUP((I14)/2,0))</f>
        <v>12</v>
      </c>
      <c r="C47" s="2" t="str">
        <f t="shared" si="0"/>
        <v>C</v>
      </c>
    </row>
    <row r="48" spans="1:19">
      <c r="A48" t="s">
        <v>130</v>
      </c>
      <c r="B48">
        <f>IF(G5=0,(I30),ROUNDUP((I30)/2,0))</f>
        <v>1</v>
      </c>
      <c r="C48" s="2" t="str">
        <f t="shared" si="0"/>
        <v>1</v>
      </c>
    </row>
    <row r="49" spans="1:12">
      <c r="A49" t="s">
        <v>131</v>
      </c>
      <c r="B49">
        <f>IF(G5=0,(I31),ROUNDUP((I31)/2,0))</f>
        <v>1</v>
      </c>
      <c r="C49" s="2" t="str">
        <f t="shared" si="0"/>
        <v>1</v>
      </c>
    </row>
    <row r="50" spans="1:12">
      <c r="L50" s="3"/>
    </row>
    <row r="51" spans="1:12">
      <c r="A51" t="s">
        <v>132</v>
      </c>
      <c r="B51">
        <f>IF(G5=0,ROUNDUP(I32/32,0),ROUNDUP(ROUNDUP(I32/2,0)/32,0))</f>
        <v>21</v>
      </c>
      <c r="C51" s="2" t="str">
        <f t="shared" si="0"/>
        <v>15</v>
      </c>
      <c r="L51" s="3"/>
    </row>
    <row r="52" spans="1:12">
      <c r="A52" t="s">
        <v>133</v>
      </c>
      <c r="B52" s="18">
        <f>IF(G5=0,ROUNDUP(I41/O2,0),ROUNDUP(ROUNDUP(I41/O2,0)/2,0)+1)</f>
        <v>11</v>
      </c>
      <c r="C52" s="2" t="str">
        <f t="shared" si="0"/>
        <v>B</v>
      </c>
      <c r="L52" s="3"/>
    </row>
    <row r="53" spans="1:12">
      <c r="A53" t="s">
        <v>134</v>
      </c>
      <c r="B53">
        <f>IF(G5=0,ROUNDUP(I36/O2,0),ROUNDUP(ROUNDUP(I36/O2,0)/2,0))</f>
        <v>1</v>
      </c>
      <c r="C53" s="2" t="str">
        <f t="shared" si="0"/>
        <v>1</v>
      </c>
      <c r="L53" s="3"/>
    </row>
    <row r="54" spans="1:12">
      <c r="A54" t="s">
        <v>135</v>
      </c>
      <c r="B54">
        <f>IF(G5=0,I38,ROUNDUP(I38/2,0))</f>
        <v>14</v>
      </c>
      <c r="C54" s="2" t="str">
        <f t="shared" si="0"/>
        <v>E</v>
      </c>
    </row>
    <row r="56" spans="1:12">
      <c r="A56" t="s">
        <v>136</v>
      </c>
      <c r="B56">
        <f>IF(G5=0,(I14+I1+I2),ROUNDUP((I14+I1+I2)/2,0))</f>
        <v>12</v>
      </c>
      <c r="C56" s="2" t="str">
        <f t="shared" si="0"/>
        <v>C</v>
      </c>
    </row>
    <row r="57" spans="1:12">
      <c r="A57" s="10" t="s">
        <v>137</v>
      </c>
      <c r="B57" s="10">
        <v>2</v>
      </c>
      <c r="C57" s="11" t="str">
        <f t="shared" si="0"/>
        <v>2</v>
      </c>
    </row>
    <row r="58" spans="1:12">
      <c r="A58" t="s">
        <v>138</v>
      </c>
      <c r="B58">
        <f>IF(G5=0,I40,ROUNDUP(I40/2,0))</f>
        <v>8</v>
      </c>
      <c r="C58" s="2" t="str">
        <f t="shared" si="0"/>
        <v>8</v>
      </c>
    </row>
    <row r="59" spans="1:12">
      <c r="L59" s="3"/>
    </row>
    <row r="60" spans="1:12">
      <c r="A60" s="10" t="s">
        <v>139</v>
      </c>
      <c r="B60" s="10">
        <v>28</v>
      </c>
      <c r="C60" s="11" t="str">
        <f t="shared" si="0"/>
        <v>1C</v>
      </c>
      <c r="L60" s="3"/>
    </row>
    <row r="61" spans="1:12">
      <c r="A61" s="10" t="s">
        <v>140</v>
      </c>
      <c r="B61" s="10">
        <v>32</v>
      </c>
      <c r="C61" s="11" t="str">
        <f t="shared" si="0"/>
        <v>20</v>
      </c>
      <c r="L61" s="3"/>
    </row>
    <row r="62" spans="1:12">
      <c r="A62" s="10" t="s">
        <v>141</v>
      </c>
      <c r="B62" s="10">
        <v>4</v>
      </c>
      <c r="C62" s="11" t="str">
        <f t="shared" si="0"/>
        <v>4</v>
      </c>
    </row>
    <row r="63" spans="1:12">
      <c r="A63" s="10"/>
      <c r="B63" s="10"/>
      <c r="C63" s="11"/>
    </row>
    <row r="64" spans="1:12">
      <c r="A64" s="10" t="s">
        <v>142</v>
      </c>
      <c r="B64" s="10">
        <v>160</v>
      </c>
      <c r="C64" s="11" t="str">
        <f t="shared" si="0"/>
        <v>A0</v>
      </c>
    </row>
    <row r="66" spans="1:3">
      <c r="A66" t="s">
        <v>143</v>
      </c>
      <c r="C66" s="2" t="str">
        <f t="shared" ref="C66:C76" si="2">DEC2HEX(B66)</f>
        <v>0</v>
      </c>
    </row>
    <row r="67" spans="1:3">
      <c r="A67" t="s">
        <v>144</v>
      </c>
      <c r="C67" s="2" t="str">
        <f t="shared" si="2"/>
        <v>0</v>
      </c>
    </row>
    <row r="68" spans="1:3">
      <c r="A68" t="s">
        <v>145</v>
      </c>
      <c r="C68" s="2" t="str">
        <f t="shared" si="2"/>
        <v>0</v>
      </c>
    </row>
    <row r="70" spans="1:3">
      <c r="A70" t="s">
        <v>146</v>
      </c>
      <c r="C70" s="2" t="str">
        <f t="shared" si="2"/>
        <v>0</v>
      </c>
    </row>
    <row r="71" spans="1:3">
      <c r="A71" t="s">
        <v>147</v>
      </c>
      <c r="C71" s="2" t="str">
        <f t="shared" si="2"/>
        <v>0</v>
      </c>
    </row>
    <row r="72" spans="1:3">
      <c r="A72" t="s">
        <v>148</v>
      </c>
      <c r="C72" s="2" t="str">
        <f t="shared" si="2"/>
        <v>0</v>
      </c>
    </row>
    <row r="73" spans="1:3">
      <c r="A73" t="s">
        <v>149</v>
      </c>
      <c r="C73" s="2" t="str">
        <f t="shared" si="2"/>
        <v>0</v>
      </c>
    </row>
    <row r="75" spans="1:3">
      <c r="A75" s="10" t="s">
        <v>150</v>
      </c>
      <c r="B75" s="10">
        <v>0</v>
      </c>
      <c r="C75" s="11" t="str">
        <f t="shared" si="2"/>
        <v>0</v>
      </c>
    </row>
    <row r="76" spans="1:3">
      <c r="A76" s="10" t="s">
        <v>151</v>
      </c>
      <c r="B76" s="10">
        <v>0</v>
      </c>
      <c r="C76" s="11" t="str">
        <f t="shared" si="2"/>
        <v>0</v>
      </c>
    </row>
    <row r="78" spans="1:3">
      <c r="A78" s="19" t="s">
        <v>152</v>
      </c>
      <c r="B78">
        <v>7</v>
      </c>
    </row>
    <row r="79" spans="1:3" ht="25.5">
      <c r="A79" s="19" t="s">
        <v>153</v>
      </c>
      <c r="B79">
        <v>0</v>
      </c>
    </row>
    <row r="80" spans="1:3">
      <c r="A80" s="19" t="s">
        <v>154</v>
      </c>
    </row>
    <row r="81" spans="1:1" ht="25.5">
      <c r="A81" s="19" t="s">
        <v>155</v>
      </c>
    </row>
    <row r="82" spans="1:1">
      <c r="A82" s="19" t="s">
        <v>156</v>
      </c>
    </row>
    <row r="83" spans="1:1">
      <c r="A83" s="19" t="s">
        <v>157</v>
      </c>
    </row>
    <row r="85" spans="1:1">
      <c r="A85" s="19" t="s">
        <v>158</v>
      </c>
    </row>
    <row r="86" spans="1:1">
      <c r="A86" s="19" t="s">
        <v>159</v>
      </c>
    </row>
    <row r="87" spans="1:1" ht="25.5">
      <c r="A87" s="19" t="s">
        <v>160</v>
      </c>
    </row>
    <row r="88" spans="1:1" ht="25.5">
      <c r="A88" s="19" t="s">
        <v>161</v>
      </c>
    </row>
    <row r="89" spans="1:1" ht="25.5">
      <c r="A89" s="19" t="s">
        <v>162</v>
      </c>
    </row>
    <row r="91" spans="1:1">
      <c r="A91" s="19" t="s">
        <v>163</v>
      </c>
    </row>
    <row r="92" spans="1:1">
      <c r="A92" s="19" t="s">
        <v>164</v>
      </c>
    </row>
    <row r="94" spans="1:1" ht="25.5">
      <c r="A94" s="19" t="s">
        <v>165</v>
      </c>
    </row>
    <row r="96" spans="1:1">
      <c r="A96" s="19" t="s">
        <v>166</v>
      </c>
    </row>
    <row r="97" spans="1:1" ht="25.5">
      <c r="A97" s="19" t="s">
        <v>167</v>
      </c>
    </row>
    <row r="98" spans="1:1">
      <c r="A98" s="19" t="s">
        <v>168</v>
      </c>
    </row>
    <row r="99" spans="1:1">
      <c r="A99" s="19" t="s">
        <v>169</v>
      </c>
    </row>
    <row r="100" spans="1:1">
      <c r="A100" s="19" t="s">
        <v>170</v>
      </c>
    </row>
    <row r="101" spans="1:1" ht="25.5">
      <c r="A101" s="19" t="s">
        <v>171</v>
      </c>
    </row>
    <row r="102" spans="1:1" ht="25.5">
      <c r="A102" s="19" t="s">
        <v>172</v>
      </c>
    </row>
    <row r="103" spans="1:1">
      <c r="A103" s="19" t="s">
        <v>173</v>
      </c>
    </row>
    <row r="104" spans="1:1" ht="25.5">
      <c r="A104" s="19" t="s">
        <v>174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2020-04-21T13:03:24Z</dcterms:modified>
</cp:coreProperties>
</file>