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NPS\Project\Horizon\ShangaiX3\"/>
    </mc:Choice>
  </mc:AlternateContent>
  <xr:revisionPtr revIDLastSave="0" documentId="13_ncr:1_{CB0A5074-CAEC-49E3-B5DC-4D9DC5788F98}" xr6:coauthVersionLast="41" xr6:coauthVersionMax="41" xr10:uidLastSave="{00000000-0000-0000-0000-000000000000}"/>
  <bookViews>
    <workbookView xWindow="-110" yWindow="-110" windowWidth="19420" windowHeight="10420" tabRatio="706" activeTab="1" xr2:uid="{00000000-000D-0000-FFFF-FFFF00000000}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</sheets>
  <definedNames>
    <definedName name="tREFI">Parameters!$D$13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2" l="1"/>
  <c r="M12" i="12"/>
  <c r="D99" i="8" l="1"/>
  <c r="D75" i="8" l="1"/>
  <c r="D238" i="8" l="1"/>
  <c r="B131" i="7" l="1"/>
  <c r="B130" i="7" l="1"/>
  <c r="B128" i="7" s="1"/>
  <c r="B122" i="7"/>
  <c r="B127" i="7" s="1"/>
  <c r="B123" i="7" l="1"/>
  <c r="B126" i="7"/>
  <c r="B129" i="7"/>
  <c r="B124" i="7"/>
  <c r="B125" i="7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D330" i="8" s="1"/>
  <c r="AN3" i="12"/>
  <c r="D296" i="8" s="1"/>
  <c r="AM3" i="12"/>
  <c r="D298" i="8" s="1"/>
  <c r="AL3" i="12"/>
  <c r="AK3" i="12"/>
  <c r="AJ3" i="12"/>
  <c r="AI3" i="12"/>
  <c r="AH3" i="12"/>
  <c r="AG3" i="12"/>
  <c r="AF3" i="12"/>
  <c r="AE3" i="12"/>
  <c r="D278" i="8" s="1"/>
  <c r="AD3" i="12"/>
  <c r="D280" i="8" s="1"/>
  <c r="AC3" i="12"/>
  <c r="D282" i="8" s="1"/>
  <c r="AB3" i="12"/>
  <c r="D267" i="8" s="1"/>
  <c r="AA3" i="12"/>
  <c r="D269" i="8" s="1"/>
  <c r="Z3" i="12"/>
  <c r="D271" i="8" s="1"/>
  <c r="Y3" i="12"/>
  <c r="D273" i="8" s="1"/>
  <c r="X3" i="12"/>
  <c r="W3" i="12"/>
  <c r="V3" i="12"/>
  <c r="U3" i="12"/>
  <c r="T3" i="12"/>
  <c r="S3" i="12"/>
  <c r="D232" i="8"/>
  <c r="D301" i="8" l="1"/>
  <c r="F301" i="8" s="1"/>
  <c r="D287" i="8"/>
  <c r="F287" i="8" s="1"/>
  <c r="D294" i="8"/>
  <c r="F294" i="8" s="1"/>
  <c r="R11" i="12"/>
  <c r="R10" i="12"/>
  <c r="R9" i="12"/>
  <c r="R8" i="12"/>
  <c r="D328" i="8"/>
  <c r="F328" i="8" s="1"/>
  <c r="F330" i="8"/>
  <c r="D289" i="8"/>
  <c r="F289" i="8" s="1"/>
  <c r="D276" i="8"/>
  <c r="F276" i="8" s="1"/>
  <c r="F278" i="8"/>
  <c r="F280" i="8"/>
  <c r="F282" i="8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D315" i="8"/>
  <c r="F315" i="8" s="1"/>
  <c r="D303" i="8"/>
  <c r="F303" i="8" s="1"/>
  <c r="D305" i="8"/>
  <c r="F305" i="8" s="1"/>
  <c r="D307" i="8"/>
  <c r="F307" i="8" s="1"/>
  <c r="D309" i="8"/>
  <c r="F309" i="8" s="1"/>
  <c r="D343" i="8"/>
  <c r="F343" i="8" s="1"/>
  <c r="D345" i="8"/>
  <c r="F345" i="8" s="1"/>
  <c r="D321" i="8"/>
  <c r="F321" i="8" s="1"/>
  <c r="D319" i="8"/>
  <c r="F319" i="8" s="1"/>
  <c r="D264" i="8"/>
  <c r="F264" i="8" s="1"/>
  <c r="D262" i="8"/>
  <c r="F262" i="8" s="1"/>
  <c r="D260" i="8"/>
  <c r="F260" i="8" s="1"/>
  <c r="D257" i="8"/>
  <c r="F257" i="8" s="1"/>
  <c r="D255" i="8"/>
  <c r="F255" i="8" s="1"/>
  <c r="D253" i="8"/>
  <c r="F253" i="8" s="1"/>
  <c r="F313" i="8" l="1"/>
  <c r="G311" i="8" s="1"/>
  <c r="G316" i="8" s="1"/>
  <c r="G317" i="8"/>
  <c r="G322" i="8" s="1"/>
  <c r="G284" i="8"/>
  <c r="G289" i="8" s="1"/>
  <c r="G300" i="8"/>
  <c r="G304" i="8" s="1"/>
  <c r="G259" i="8"/>
  <c r="G264" i="8" s="1"/>
  <c r="G251" i="8"/>
  <c r="G275" i="8"/>
  <c r="G279" i="8" s="1"/>
  <c r="F269" i="8"/>
  <c r="G302" i="8" l="1"/>
  <c r="G261" i="8"/>
  <c r="G286" i="8"/>
  <c r="G288" i="8"/>
  <c r="G319" i="8"/>
  <c r="G320" i="8"/>
  <c r="G321" i="8"/>
  <c r="G263" i="8"/>
  <c r="G287" i="8"/>
  <c r="G313" i="8"/>
  <c r="G315" i="8"/>
  <c r="G314" i="8"/>
  <c r="G262" i="8"/>
  <c r="G305" i="8"/>
  <c r="G303" i="8"/>
  <c r="G254" i="8"/>
  <c r="G253" i="8"/>
  <c r="G256" i="8"/>
  <c r="G255" i="8"/>
  <c r="G277" i="8"/>
  <c r="G280" i="8"/>
  <c r="G278" i="8"/>
  <c r="F267" i="8"/>
  <c r="F298" i="8"/>
  <c r="F296" i="8"/>
  <c r="D326" i="8"/>
  <c r="F326" i="8" s="1"/>
  <c r="D324" i="8"/>
  <c r="F324" i="8" s="1"/>
  <c r="D339" i="8"/>
  <c r="F339" i="8" s="1"/>
  <c r="D337" i="8"/>
  <c r="F337" i="8" s="1"/>
  <c r="D335" i="8"/>
  <c r="F335" i="8" s="1"/>
  <c r="D333" i="8"/>
  <c r="F333" i="8" s="1"/>
  <c r="D347" i="8"/>
  <c r="F347" i="8" s="1"/>
  <c r="G341" i="8" s="1"/>
  <c r="G346" i="8" s="1"/>
  <c r="D292" i="8"/>
  <c r="F292" i="8" s="1"/>
  <c r="F273" i="8"/>
  <c r="F271" i="8"/>
  <c r="G323" i="8" l="1"/>
  <c r="G327" i="8" s="1"/>
  <c r="G332" i="8"/>
  <c r="G334" i="8" s="1"/>
  <c r="G291" i="8"/>
  <c r="G295" i="8" s="1"/>
  <c r="G345" i="8"/>
  <c r="G344" i="8"/>
  <c r="G343" i="8"/>
  <c r="H261" i="8"/>
  <c r="D40" i="4" s="1"/>
  <c r="H286" i="8"/>
  <c r="D43" i="4" s="1"/>
  <c r="H319" i="8"/>
  <c r="D47" i="4" s="1"/>
  <c r="H302" i="8"/>
  <c r="D45" i="4" s="1"/>
  <c r="H313" i="8"/>
  <c r="D46" i="4" s="1"/>
  <c r="H253" i="8"/>
  <c r="D39" i="4" s="1"/>
  <c r="G266" i="8"/>
  <c r="H277" i="8"/>
  <c r="D42" i="4" s="1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 s="1"/>
  <c r="M174" i="12"/>
  <c r="M173" i="12"/>
  <c r="O168" i="12" s="1"/>
  <c r="M172" i="12"/>
  <c r="M171" i="12"/>
  <c r="O167" i="12" s="1"/>
  <c r="M170" i="12"/>
  <c r="M169" i="12"/>
  <c r="M168" i="12"/>
  <c r="M167" i="12"/>
  <c r="M166" i="12"/>
  <c r="O148" i="12" s="1"/>
  <c r="M165" i="12"/>
  <c r="M164" i="12"/>
  <c r="M163" i="12"/>
  <c r="M162" i="12"/>
  <c r="M161" i="12"/>
  <c r="O147" i="12" s="1"/>
  <c r="M160" i="12"/>
  <c r="M159" i="12"/>
  <c r="O146" i="12" s="1"/>
  <c r="M158" i="12"/>
  <c r="M157" i="12"/>
  <c r="O145" i="12" s="1"/>
  <c r="M156" i="12"/>
  <c r="M151" i="12"/>
  <c r="M155" i="12"/>
  <c r="O144" i="12" s="1"/>
  <c r="M153" i="12"/>
  <c r="M149" i="12"/>
  <c r="M154" i="12"/>
  <c r="M150" i="12"/>
  <c r="M152" i="12"/>
  <c r="M148" i="12"/>
  <c r="M147" i="12"/>
  <c r="O143" i="12" s="1"/>
  <c r="M146" i="12"/>
  <c r="M145" i="12"/>
  <c r="O142" i="12" s="1"/>
  <c r="M144" i="12"/>
  <c r="M143" i="12"/>
  <c r="O141" i="12" s="1"/>
  <c r="M142" i="12"/>
  <c r="M141" i="12"/>
  <c r="O140" i="12" s="1"/>
  <c r="M140" i="12"/>
  <c r="M139" i="12"/>
  <c r="O124" i="12" s="1"/>
  <c r="M138" i="12"/>
  <c r="M137" i="12"/>
  <c r="O123" i="12" s="1"/>
  <c r="M136" i="12"/>
  <c r="M135" i="12"/>
  <c r="O122" i="12" s="1"/>
  <c r="M134" i="12"/>
  <c r="M133" i="12"/>
  <c r="O121" i="12" s="1"/>
  <c r="M132" i="12"/>
  <c r="M131" i="12"/>
  <c r="O120" i="12" s="1"/>
  <c r="M130" i="12"/>
  <c r="M125" i="12"/>
  <c r="M126" i="12"/>
  <c r="M127" i="12"/>
  <c r="M128" i="12"/>
  <c r="O119" i="12" s="1"/>
  <c r="M129" i="12"/>
  <c r="M124" i="12"/>
  <c r="M123" i="12"/>
  <c r="O118" i="12" s="1"/>
  <c r="M122" i="12"/>
  <c r="M121" i="12"/>
  <c r="O117" i="12" s="1"/>
  <c r="M120" i="12"/>
  <c r="M119" i="12"/>
  <c r="O116" i="12" s="1"/>
  <c r="M118" i="12"/>
  <c r="M117" i="12"/>
  <c r="O115" i="12" s="1"/>
  <c r="M116" i="12"/>
  <c r="M115" i="12"/>
  <c r="O114" i="12" s="1"/>
  <c r="M114" i="12"/>
  <c r="M111" i="12"/>
  <c r="M112" i="12"/>
  <c r="M113" i="12"/>
  <c r="O98" i="12" s="1"/>
  <c r="M110" i="12"/>
  <c r="M108" i="12"/>
  <c r="M109" i="12"/>
  <c r="O97" i="12" s="1"/>
  <c r="M107" i="12"/>
  <c r="O96" i="12" s="1"/>
  <c r="M106" i="12"/>
  <c r="M105" i="12"/>
  <c r="O95" i="12" s="1"/>
  <c r="M104" i="12"/>
  <c r="M103" i="12"/>
  <c r="O94" i="12" s="1"/>
  <c r="M102" i="12"/>
  <c r="M98" i="12"/>
  <c r="M97" i="12"/>
  <c r="M100" i="12"/>
  <c r="M99" i="12"/>
  <c r="M101" i="12"/>
  <c r="O93" i="12" s="1"/>
  <c r="M96" i="12"/>
  <c r="O92" i="12" s="1"/>
  <c r="M95" i="12"/>
  <c r="M94" i="12"/>
  <c r="M93" i="12"/>
  <c r="O91" i="12" s="1"/>
  <c r="M91" i="12"/>
  <c r="M92" i="12"/>
  <c r="M59" i="12"/>
  <c r="M57" i="12"/>
  <c r="M61" i="12"/>
  <c r="M56" i="12"/>
  <c r="M60" i="12"/>
  <c r="M58" i="12"/>
  <c r="O53" i="12" s="1"/>
  <c r="M62" i="12"/>
  <c r="M55" i="12"/>
  <c r="M51" i="12"/>
  <c r="M53" i="12"/>
  <c r="O52" i="12" s="1"/>
  <c r="M54" i="12"/>
  <c r="M52" i="12"/>
  <c r="O51" i="12" s="1"/>
  <c r="M89" i="12"/>
  <c r="M90" i="12"/>
  <c r="O75" i="12" s="1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 s="1"/>
  <c r="M78" i="12"/>
  <c r="M74" i="12"/>
  <c r="M73" i="12"/>
  <c r="O72" i="12" s="1"/>
  <c r="M72" i="12"/>
  <c r="O55" i="12"/>
  <c r="O9" i="12"/>
  <c r="O10" i="12"/>
  <c r="M71" i="12"/>
  <c r="O56" i="12" s="1"/>
  <c r="M70" i="12"/>
  <c r="M63" i="12"/>
  <c r="M64" i="12"/>
  <c r="M65" i="12"/>
  <c r="M66" i="12"/>
  <c r="O54" i="12" s="1"/>
  <c r="M68" i="12"/>
  <c r="M67" i="12"/>
  <c r="M69" i="12"/>
  <c r="G326" i="8" l="1"/>
  <c r="G328" i="8"/>
  <c r="G335" i="8"/>
  <c r="G325" i="8"/>
  <c r="H325" i="8" s="1"/>
  <c r="D48" i="4" s="1"/>
  <c r="G337" i="8"/>
  <c r="G296" i="8"/>
  <c r="G293" i="8"/>
  <c r="G336" i="8"/>
  <c r="G294" i="8"/>
  <c r="H343" i="8"/>
  <c r="D50" i="4" s="1"/>
  <c r="O170" i="12"/>
  <c r="P167" i="12" s="1"/>
  <c r="G271" i="8"/>
  <c r="G270" i="8"/>
  <c r="G268" i="8"/>
  <c r="G269" i="8"/>
  <c r="P140" i="12"/>
  <c r="O74" i="12"/>
  <c r="P114" i="12"/>
  <c r="P116" i="12" s="1"/>
  <c r="P51" i="12"/>
  <c r="P52" i="12" s="1"/>
  <c r="P91" i="12"/>
  <c r="P93" i="12" s="1"/>
  <c r="P72" i="12"/>
  <c r="P73" i="12" s="1"/>
  <c r="M50" i="12"/>
  <c r="O11" i="12" s="1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 s="1"/>
  <c r="M17" i="12"/>
  <c r="O7" i="12" s="1"/>
  <c r="M16" i="12"/>
  <c r="M7" i="12"/>
  <c r="M8" i="12"/>
  <c r="O6" i="12" s="1"/>
  <c r="M9" i="12"/>
  <c r="M10" i="12"/>
  <c r="M11" i="12"/>
  <c r="M14" i="12"/>
  <c r="M15" i="12"/>
  <c r="M6" i="12"/>
  <c r="H334" i="8" l="1"/>
  <c r="D49" i="4" s="1"/>
  <c r="H293" i="8"/>
  <c r="D44" i="4" s="1"/>
  <c r="P168" i="12"/>
  <c r="P169" i="12"/>
  <c r="H268" i="8"/>
  <c r="D41" i="4" s="1"/>
  <c r="P6" i="12"/>
  <c r="P53" i="12"/>
  <c r="P142" i="12"/>
  <c r="P141" i="12"/>
  <c r="P115" i="12"/>
  <c r="P92" i="12"/>
  <c r="P74" i="12"/>
  <c r="M5" i="12"/>
  <c r="M4" i="12"/>
  <c r="M3" i="12"/>
  <c r="M2" i="12"/>
  <c r="O2" i="12" s="1"/>
  <c r="P7" i="12" l="1"/>
  <c r="P9" i="12" s="1"/>
  <c r="G2" i="12"/>
  <c r="F222" i="8" s="1"/>
  <c r="D5" i="12"/>
  <c r="D4" i="12"/>
  <c r="D3" i="12"/>
  <c r="D2" i="12"/>
  <c r="D6" i="12"/>
  <c r="G6" i="12" s="1"/>
  <c r="D7" i="12"/>
  <c r="D8" i="12"/>
  <c r="P8" i="12" l="1"/>
  <c r="G62" i="12"/>
  <c r="G72" i="12"/>
  <c r="G151" i="12"/>
  <c r="G152" i="12"/>
  <c r="F239" i="8" l="1"/>
  <c r="F240" i="8"/>
  <c r="F237" i="8"/>
  <c r="D68" i="7"/>
  <c r="F238" i="8" s="1"/>
  <c r="G237" i="8" s="1"/>
  <c r="D40" i="7"/>
  <c r="D39" i="7"/>
  <c r="D227" i="8" s="1"/>
  <c r="D38" i="7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 s="1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 s="1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 s="1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 s="1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 s="1"/>
  <c r="D234" i="8" s="1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D230" i="8" l="1"/>
  <c r="G229" i="8" s="1"/>
  <c r="H229" i="8" s="1"/>
  <c r="D33" i="4" s="1"/>
  <c r="D225" i="8"/>
  <c r="F225" i="8" s="1"/>
  <c r="G222" i="8" s="1"/>
  <c r="G10" i="12"/>
  <c r="F227" i="8"/>
  <c r="G226" i="8"/>
  <c r="G74" i="12"/>
  <c r="G70" i="12"/>
  <c r="G66" i="12"/>
  <c r="G58" i="12"/>
  <c r="G46" i="12"/>
  <c r="G26" i="12"/>
  <c r="G156" i="12"/>
  <c r="G36" i="12"/>
  <c r="G28" i="12"/>
  <c r="G78" i="12"/>
  <c r="H78" i="12" s="1"/>
  <c r="H79" i="12" s="1"/>
  <c r="D245" i="8" s="1"/>
  <c r="G98" i="12"/>
  <c r="D246" i="8" s="1"/>
  <c r="G166" i="12"/>
  <c r="G14" i="12"/>
  <c r="G12" i="12"/>
  <c r="G76" i="12"/>
  <c r="D243" i="8" s="1"/>
  <c r="G68" i="12"/>
  <c r="G64" i="12"/>
  <c r="G60" i="12"/>
  <c r="G56" i="12"/>
  <c r="G44" i="12"/>
  <c r="D242" i="8" s="1"/>
  <c r="G24" i="12"/>
  <c r="G154" i="12"/>
  <c r="D248" i="8" s="1"/>
  <c r="G100" i="12"/>
  <c r="G168" i="12"/>
  <c r="G238" i="8"/>
  <c r="G239" i="8"/>
  <c r="G241" i="8"/>
  <c r="G240" i="8"/>
  <c r="D20" i="7"/>
  <c r="D249" i="8" l="1"/>
  <c r="E248" i="8" s="1"/>
  <c r="D38" i="4" s="1"/>
  <c r="D235" i="8"/>
  <c r="E234" i="8" s="1"/>
  <c r="D34" i="4" s="1"/>
  <c r="G225" i="8"/>
  <c r="G224" i="8"/>
  <c r="G223" i="8"/>
  <c r="H239" i="8"/>
  <c r="D36" i="4" s="1"/>
  <c r="E242" i="8"/>
  <c r="D35" i="4" s="1"/>
  <c r="D3" i="4"/>
  <c r="H223" i="8" l="1"/>
  <c r="D32" i="4" s="1"/>
  <c r="E245" i="8"/>
  <c r="D37" i="4" s="1"/>
  <c r="D41" i="7" l="1"/>
  <c r="D70" i="7" l="1"/>
  <c r="D69" i="7"/>
  <c r="D42" i="7"/>
  <c r="D43" i="8" l="1"/>
  <c r="D41" i="8"/>
  <c r="D120" i="7"/>
  <c r="D116" i="7"/>
  <c r="D117" i="7"/>
  <c r="D118" i="7"/>
  <c r="D119" i="7"/>
  <c r="D121" i="7"/>
  <c r="D115" i="7"/>
  <c r="D53" i="7"/>
  <c r="D59" i="7" l="1"/>
  <c r="D37" i="7" l="1"/>
  <c r="D105" i="7"/>
  <c r="D191" i="8" s="1"/>
  <c r="D160" i="8"/>
  <c r="D58" i="7"/>
  <c r="D83" i="7"/>
  <c r="D189" i="8" s="1"/>
  <c r="D109" i="7" l="1"/>
  <c r="D218" i="8" s="1"/>
  <c r="D108" i="7"/>
  <c r="D206" i="8" s="1"/>
  <c r="D107" i="7"/>
  <c r="D112" i="7"/>
  <c r="D113" i="7"/>
  <c r="D114" i="7"/>
  <c r="D106" i="7"/>
  <c r="D111" i="7"/>
  <c r="D110" i="7" l="1"/>
  <c r="D181" i="8" s="1"/>
  <c r="D122" i="7"/>
  <c r="D127" i="7" l="1"/>
  <c r="D197" i="8" s="1"/>
  <c r="D126" i="7"/>
  <c r="D195" i="8" s="1"/>
  <c r="D180" i="8"/>
  <c r="D66" i="7"/>
  <c r="D65" i="7"/>
  <c r="D78" i="7"/>
  <c r="D64" i="7"/>
  <c r="D77" i="7"/>
  <c r="D35" i="7"/>
  <c r="D36" i="7"/>
  <c r="D71" i="7"/>
  <c r="D167" i="8" s="1"/>
  <c r="D34" i="7"/>
  <c r="D98" i="7"/>
  <c r="D49" i="7"/>
  <c r="D72" i="7"/>
  <c r="D48" i="7"/>
  <c r="D47" i="7"/>
  <c r="D46" i="7"/>
  <c r="D75" i="7"/>
  <c r="D33" i="7"/>
  <c r="D60" i="7"/>
  <c r="D31" i="7"/>
  <c r="D32" i="7"/>
  <c r="D15" i="7"/>
  <c r="D13" i="7"/>
  <c r="D63" i="7"/>
  <c r="D149" i="8" s="1"/>
  <c r="D62" i="7"/>
  <c r="D147" i="8" s="1"/>
  <c r="D135" i="8"/>
  <c r="D55" i="7"/>
  <c r="D126" i="8" s="1"/>
  <c r="D61" i="7"/>
  <c r="D121" i="8" s="1"/>
  <c r="D52" i="7"/>
  <c r="D118" i="8" s="1"/>
  <c r="D116" i="8"/>
  <c r="D57" i="7"/>
  <c r="D56" i="7"/>
  <c r="D92" i="7"/>
  <c r="D93" i="7"/>
  <c r="D103" i="8" s="1"/>
  <c r="D94" i="7"/>
  <c r="D105" i="8" s="1"/>
  <c r="D95" i="7"/>
  <c r="D108" i="8" s="1"/>
  <c r="D96" i="7"/>
  <c r="D113" i="8" s="1"/>
  <c r="D130" i="8"/>
  <c r="D132" i="8"/>
  <c r="D99" i="7"/>
  <c r="D100" i="7"/>
  <c r="D101" i="7"/>
  <c r="D102" i="7"/>
  <c r="D67" i="7"/>
  <c r="D151" i="8" s="1"/>
  <c r="D91" i="7"/>
  <c r="D90" i="7"/>
  <c r="D89" i="7"/>
  <c r="D88" i="7"/>
  <c r="D87" i="7"/>
  <c r="D86" i="7"/>
  <c r="D85" i="7"/>
  <c r="D85" i="8" s="1"/>
  <c r="D84" i="7"/>
  <c r="D83" i="8" s="1"/>
  <c r="D97" i="7"/>
  <c r="D80" i="8" s="1"/>
  <c r="D79" i="7"/>
  <c r="D77" i="8" s="1"/>
  <c r="D82" i="7"/>
  <c r="D81" i="7"/>
  <c r="D73" i="8" s="1"/>
  <c r="D80" i="7"/>
  <c r="D71" i="8" s="1"/>
  <c r="D28" i="7"/>
  <c r="D29" i="7"/>
  <c r="D43" i="7"/>
  <c r="D27" i="7"/>
  <c r="D54" i="7"/>
  <c r="D76" i="7"/>
  <c r="D23" i="7"/>
  <c r="D24" i="7"/>
  <c r="D25" i="7"/>
  <c r="D26" i="7"/>
  <c r="D50" i="8" s="1"/>
  <c r="D22" i="7"/>
  <c r="D130" i="7" s="1"/>
  <c r="D30" i="7"/>
  <c r="D21" i="7"/>
  <c r="D74" i="7"/>
  <c r="D45" i="7"/>
  <c r="D44" i="7"/>
  <c r="D51" i="7"/>
  <c r="D19" i="7"/>
  <c r="D18" i="7"/>
  <c r="D17" i="7"/>
  <c r="D16" i="7"/>
  <c r="D73" i="7"/>
  <c r="D50" i="7"/>
  <c r="D14" i="7"/>
  <c r="E45" i="8" l="1"/>
  <c r="D45" i="8" s="1"/>
  <c r="E17" i="8"/>
  <c r="D18" i="8" s="1"/>
  <c r="D36" i="8"/>
  <c r="D34" i="8"/>
  <c r="D131" i="7"/>
  <c r="D124" i="7" s="1"/>
  <c r="D125" i="7"/>
  <c r="D123" i="7"/>
  <c r="D182" i="8" s="1"/>
  <c r="D128" i="7"/>
  <c r="D211" i="8" s="1"/>
  <c r="D129" i="7"/>
  <c r="D213" i="8" s="1"/>
  <c r="D6" i="8"/>
  <c r="E27" i="8"/>
  <c r="D54" i="8"/>
  <c r="D110" i="8"/>
  <c r="D172" i="8"/>
  <c r="G167" i="8" s="1"/>
  <c r="D170" i="8"/>
  <c r="D157" i="8"/>
  <c r="E23" i="8"/>
  <c r="E25" i="8"/>
  <c r="D52" i="8"/>
  <c r="E153" i="8"/>
  <c r="D154" i="8" s="1"/>
  <c r="D66" i="8"/>
  <c r="D25" i="8"/>
  <c r="D23" i="8"/>
  <c r="D8" i="8"/>
  <c r="F170" i="8" l="1"/>
  <c r="G166" i="8"/>
  <c r="D16" i="8"/>
  <c r="D12" i="8"/>
  <c r="F176" i="8" l="1"/>
  <c r="F174" i="8"/>
  <c r="F171" i="8"/>
  <c r="F169" i="8"/>
  <c r="F168" i="8"/>
  <c r="D165" i="8"/>
  <c r="F165" i="8" s="1"/>
  <c r="D166" i="8"/>
  <c r="F166" i="8" s="1"/>
  <c r="F167" i="8"/>
  <c r="D164" i="8"/>
  <c r="F172" i="8"/>
  <c r="F154" i="8"/>
  <c r="D101" i="8"/>
  <c r="F101" i="8" s="1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F218" i="8"/>
  <c r="D144" i="8"/>
  <c r="F144" i="8" s="1"/>
  <c r="D142" i="8"/>
  <c r="F142" i="8" s="1"/>
  <c r="D140" i="8"/>
  <c r="F140" i="8" s="1"/>
  <c r="D138" i="8"/>
  <c r="F138" i="8" s="1"/>
  <c r="F135" i="8"/>
  <c r="F132" i="8"/>
  <c r="F130" i="8"/>
  <c r="F105" i="8"/>
  <c r="F103" i="8"/>
  <c r="F99" i="8"/>
  <c r="D96" i="8"/>
  <c r="F96" i="8" s="1"/>
  <c r="D95" i="8"/>
  <c r="F95" i="8" s="1"/>
  <c r="D93" i="8"/>
  <c r="F93" i="8" s="1"/>
  <c r="D91" i="8"/>
  <c r="F91" i="8" s="1"/>
  <c r="D87" i="8"/>
  <c r="F87" i="8" s="1"/>
  <c r="F85" i="8"/>
  <c r="F83" i="8"/>
  <c r="F80" i="8"/>
  <c r="F77" i="8"/>
  <c r="F75" i="8"/>
  <c r="F73" i="8"/>
  <c r="F71" i="8"/>
  <c r="D62" i="8"/>
  <c r="D39" i="8"/>
  <c r="D32" i="8"/>
  <c r="E29" i="8"/>
  <c r="D29" i="8" s="1"/>
  <c r="D27" i="8"/>
  <c r="D162" i="8"/>
  <c r="D177" i="8" l="1"/>
  <c r="F177" i="8" s="1"/>
  <c r="F164" i="8"/>
  <c r="G165" i="8" s="1"/>
  <c r="H166" i="8" s="1"/>
  <c r="G215" i="8"/>
  <c r="G220" i="8" s="1"/>
  <c r="G130" i="8"/>
  <c r="G135" i="8" s="1"/>
  <c r="G138" i="8"/>
  <c r="G140" i="8" s="1"/>
  <c r="G89" i="8"/>
  <c r="G95" i="8" s="1"/>
  <c r="G98" i="8"/>
  <c r="G103" i="8" s="1"/>
  <c r="G79" i="8"/>
  <c r="G84" i="8" s="1"/>
  <c r="G70" i="8"/>
  <c r="G72" i="8" s="1"/>
  <c r="F124" i="8"/>
  <c r="F123" i="8"/>
  <c r="F125" i="8"/>
  <c r="F38" i="8"/>
  <c r="F212" i="8"/>
  <c r="F210" i="8"/>
  <c r="F209" i="8"/>
  <c r="F205" i="8"/>
  <c r="F203" i="8"/>
  <c r="D200" i="8"/>
  <c r="F200" i="8" s="1"/>
  <c r="D201" i="8"/>
  <c r="F201" i="8" s="1"/>
  <c r="D202" i="8"/>
  <c r="F202" i="8" s="1"/>
  <c r="F196" i="8"/>
  <c r="F194" i="8"/>
  <c r="F192" i="8"/>
  <c r="F191" i="8"/>
  <c r="F190" i="8"/>
  <c r="F189" i="8"/>
  <c r="F186" i="8"/>
  <c r="F184" i="8"/>
  <c r="F179" i="8"/>
  <c r="D183" i="8"/>
  <c r="F181" i="8"/>
  <c r="F162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3" i="8"/>
  <c r="F112" i="8"/>
  <c r="F111" i="8"/>
  <c r="F109" i="8"/>
  <c r="F108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183" i="8" l="1"/>
  <c r="D187" i="8"/>
  <c r="D185" i="8"/>
  <c r="G134" i="8"/>
  <c r="G217" i="8"/>
  <c r="G219" i="8"/>
  <c r="G218" i="8"/>
  <c r="G142" i="8"/>
  <c r="G143" i="8"/>
  <c r="G141" i="8"/>
  <c r="G133" i="8"/>
  <c r="G132" i="8"/>
  <c r="G102" i="8"/>
  <c r="G104" i="8"/>
  <c r="G101" i="8"/>
  <c r="G94" i="8"/>
  <c r="G96" i="8"/>
  <c r="G93" i="8"/>
  <c r="G85" i="8"/>
  <c r="G83" i="8"/>
  <c r="G82" i="8"/>
  <c r="G75" i="8"/>
  <c r="G73" i="8"/>
  <c r="G74" i="8"/>
  <c r="F151" i="8"/>
  <c r="H140" i="8" l="1"/>
  <c r="D23" i="4" s="1"/>
  <c r="H218" i="8"/>
  <c r="D31" i="4" s="1"/>
  <c r="H132" i="8"/>
  <c r="H101" i="8"/>
  <c r="D18" i="4" s="1"/>
  <c r="H72" i="8"/>
  <c r="D15" i="4" s="1"/>
  <c r="H93" i="8"/>
  <c r="D17" i="4" s="1"/>
  <c r="H82" i="8"/>
  <c r="D16" i="4" s="1"/>
  <c r="F36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F116" i="8"/>
  <c r="F182" i="8" l="1"/>
  <c r="F185" i="8"/>
  <c r="F187" i="8"/>
  <c r="D193" i="8"/>
  <c r="F193" i="8" s="1"/>
  <c r="F195" i="8"/>
  <c r="F197" i="8"/>
  <c r="D204" i="8"/>
  <c r="F204" i="8" s="1"/>
  <c r="F206" i="8"/>
  <c r="F211" i="8"/>
  <c r="F213" i="8"/>
  <c r="F180" i="8"/>
  <c r="G200" i="8" l="1"/>
  <c r="G203" i="8" s="1"/>
  <c r="G209" i="8"/>
  <c r="G179" i="8"/>
  <c r="G182" i="8" s="1"/>
  <c r="G189" i="8"/>
  <c r="G191" i="8" s="1"/>
  <c r="D20" i="8"/>
  <c r="F20" i="8" s="1"/>
  <c r="F160" i="8"/>
  <c r="G159" i="8" s="1"/>
  <c r="D175" i="8"/>
  <c r="F175" i="8" s="1"/>
  <c r="G174" i="8" s="1"/>
  <c r="G178" i="8" l="1"/>
  <c r="G176" i="8"/>
  <c r="G177" i="8"/>
  <c r="G175" i="8"/>
  <c r="G183" i="8"/>
  <c r="G184" i="8"/>
  <c r="G181" i="8"/>
  <c r="F157" i="8"/>
  <c r="G151" i="8" s="1"/>
  <c r="F126" i="8"/>
  <c r="G123" i="8" s="1"/>
  <c r="G205" i="8"/>
  <c r="G202" i="8"/>
  <c r="G193" i="8"/>
  <c r="G192" i="8"/>
  <c r="G204" i="8"/>
  <c r="G194" i="8"/>
  <c r="G211" i="8"/>
  <c r="G213" i="8"/>
  <c r="G212" i="8"/>
  <c r="G214" i="8"/>
  <c r="G160" i="8"/>
  <c r="G163" i="8"/>
  <c r="G162" i="8"/>
  <c r="G161" i="8"/>
  <c r="F27" i="8"/>
  <c r="D10" i="8"/>
  <c r="F10" i="8" s="1"/>
  <c r="F45" i="8"/>
  <c r="F43" i="8"/>
  <c r="F41" i="8"/>
  <c r="F39" i="8"/>
  <c r="F34" i="8"/>
  <c r="F32" i="8"/>
  <c r="F29" i="8"/>
  <c r="F25" i="8"/>
  <c r="F23" i="8"/>
  <c r="F18" i="8"/>
  <c r="F16" i="8"/>
  <c r="F12" i="8"/>
  <c r="F8" i="8"/>
  <c r="F6" i="8"/>
  <c r="F149" i="8"/>
  <c r="F147" i="8"/>
  <c r="F121" i="8"/>
  <c r="F118" i="8"/>
  <c r="F110" i="8"/>
  <c r="G107" i="8" s="1"/>
  <c r="F62" i="8"/>
  <c r="G56" i="8" s="1"/>
  <c r="F54" i="8"/>
  <c r="D48" i="8"/>
  <c r="D68" i="8" s="1"/>
  <c r="F52" i="8"/>
  <c r="G22" i="8" l="1"/>
  <c r="G5" i="8"/>
  <c r="H202" i="8"/>
  <c r="D29" i="4" s="1"/>
  <c r="H175" i="8"/>
  <c r="D26" i="4" s="1"/>
  <c r="D25" i="4"/>
  <c r="F48" i="8"/>
  <c r="F68" i="8"/>
  <c r="F50" i="8"/>
  <c r="F66" i="8"/>
  <c r="H181" i="8"/>
  <c r="D27" i="4" s="1"/>
  <c r="G125" i="8"/>
  <c r="G127" i="8"/>
  <c r="G128" i="8"/>
  <c r="G126" i="8"/>
  <c r="H191" i="8"/>
  <c r="D28" i="4" s="1"/>
  <c r="G38" i="8"/>
  <c r="H212" i="8"/>
  <c r="D30" i="4" s="1"/>
  <c r="G146" i="8"/>
  <c r="G148" i="8" s="1"/>
  <c r="G154" i="8"/>
  <c r="G153" i="8"/>
  <c r="G156" i="8"/>
  <c r="G155" i="8"/>
  <c r="H160" i="8"/>
  <c r="D6" i="4" s="1"/>
  <c r="G115" i="8"/>
  <c r="G111" i="8"/>
  <c r="G110" i="8"/>
  <c r="G109" i="8"/>
  <c r="G112" i="8"/>
  <c r="G59" i="8"/>
  <c r="G58" i="8"/>
  <c r="G61" i="8"/>
  <c r="G60" i="8"/>
  <c r="G14" i="8"/>
  <c r="G31" i="8"/>
  <c r="H109" i="8" l="1"/>
  <c r="D19" i="4" s="1"/>
  <c r="H125" i="8"/>
  <c r="D21" i="4" s="1"/>
  <c r="G47" i="8"/>
  <c r="G51" i="8" s="1"/>
  <c r="G64" i="8"/>
  <c r="G65" i="8" s="1"/>
  <c r="G43" i="8"/>
  <c r="G40" i="8"/>
  <c r="G42" i="8"/>
  <c r="G41" i="8"/>
  <c r="G149" i="8"/>
  <c r="G147" i="8"/>
  <c r="G150" i="8"/>
  <c r="H153" i="8"/>
  <c r="D5" i="4" s="1"/>
  <c r="G120" i="8"/>
  <c r="G119" i="8"/>
  <c r="G118" i="8"/>
  <c r="G117" i="8"/>
  <c r="H58" i="8"/>
  <c r="D13" i="4" s="1"/>
  <c r="G33" i="8"/>
  <c r="G36" i="8"/>
  <c r="G34" i="8"/>
  <c r="G35" i="8"/>
  <c r="G10" i="8"/>
  <c r="G8" i="8"/>
  <c r="G9" i="8"/>
  <c r="G7" i="8"/>
  <c r="G27" i="8"/>
  <c r="G24" i="8"/>
  <c r="G26" i="8"/>
  <c r="G25" i="8"/>
  <c r="G16" i="8"/>
  <c r="G19" i="8"/>
  <c r="G17" i="8"/>
  <c r="G18" i="8"/>
  <c r="G50" i="8" l="1"/>
  <c r="G52" i="8"/>
  <c r="G49" i="8"/>
  <c r="G67" i="8"/>
  <c r="G68" i="8"/>
  <c r="G66" i="8"/>
  <c r="H40" i="8"/>
  <c r="D11" i="4" s="1"/>
  <c r="H147" i="8"/>
  <c r="D24" i="4" s="1"/>
  <c r="H117" i="8"/>
  <c r="D20" i="4" s="1"/>
  <c r="H16" i="8"/>
  <c r="D8" i="4" s="1"/>
  <c r="H33" i="8"/>
  <c r="D10" i="4" s="1"/>
  <c r="H24" i="8"/>
  <c r="D9" i="4" s="1"/>
  <c r="H7" i="8"/>
  <c r="D7" i="4" s="1"/>
  <c r="H49" i="8" l="1"/>
  <c r="D12" i="4" s="1"/>
  <c r="H64" i="8"/>
  <c r="D14" i="4" s="1"/>
</calcChain>
</file>

<file path=xl/sharedStrings.xml><?xml version="1.0" encoding="utf-8"?>
<sst xmlns="http://schemas.openxmlformats.org/spreadsheetml/2006/main" count="1804" uniqueCount="905">
  <si>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</si>
  <si>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</si>
  <si>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</si>
  <si>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</si>
  <si>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</si>
  <si>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</si>
  <si>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</si>
  <si>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</si>
  <si>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</si>
  <si>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</si>
  <si>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</si>
  <si>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</si>
  <si>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</si>
  <si>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</si>
  <si>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</si>
  <si>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</si>
  <si>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</si>
  <si>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</si>
  <si>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</si>
  <si>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</si>
  <si>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</si>
  <si>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</si>
  <si>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</si>
  <si>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</si>
  <si>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</si>
  <si>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</si>
  <si>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</si>
  <si>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</si>
  <si>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</si>
  <si>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</si>
  <si>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</si>
  <si>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</si>
  <si>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</si>
  <si>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</si>
  <si>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</si>
  <si>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</si>
  <si>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</si>
  <si>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</si>
  <si>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</si>
  <si>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</si>
  <si>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</si>
  <si>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</si>
  <si>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</si>
  <si>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</si>
  <si>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</si>
  <si>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</si>
  <si>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</si>
  <si>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</si>
  <si>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</si>
  <si>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</si>
  <si>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</si>
  <si>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</si>
  <si>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</si>
  <si>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</si>
  <si>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</si>
  <si>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</si>
  <si>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</si>
  <si>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</si>
  <si>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</si>
  <si>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</si>
  <si>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</si>
  <si>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</si>
  <si>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</si>
  <si>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</si>
  <si>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</si>
  <si>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</si>
  <si>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</si>
  <si>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</si>
  <si>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</si>
  <si>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</si>
  <si>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</si>
  <si>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</si>
  <si>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</si>
  <si>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</si>
  <si>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</si>
  <si>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</si>
  <si>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</si>
  <si>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</si>
  <si>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</si>
  <si>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</si>
  <si>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</si>
  <si>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</si>
  <si>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</si>
  <si>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</si>
  <si>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</si>
  <si>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</si>
  <si>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</si>
  <si>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</si>
  <si>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</si>
  <si>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</si>
  <si>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</si>
  <si>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</si>
  <si>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</si>
  <si>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</si>
  <si>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</si>
  <si>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</si>
  <si>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</si>
  <si>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</si>
  <si>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</si>
  <si>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</si>
  <si>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</si>
  <si>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</si>
  <si>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</si>
  <si>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</si>
  <si>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</si>
  <si>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</si>
  <si>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</si>
  <si>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</si>
  <si>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</si>
  <si>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</si>
  <si>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</si>
  <si>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</si>
  <si>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</si>
  <si>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</si>
  <si>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</si>
  <si>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</si>
  <si>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</si>
  <si>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</si>
  <si>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</si>
  <si>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</si>
  <si>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</si>
  <si>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</si>
  <si>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</si>
  <si>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</si>
  <si>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</si>
  <si>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</si>
  <si>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</si>
  <si>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</si>
  <si>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</si>
  <si>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</si>
  <si>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</si>
  <si>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</si>
  <si>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</si>
  <si>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</si>
  <si>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</si>
  <si>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</si>
  <si>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</si>
  <si>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</si>
  <si>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</si>
  <si>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</si>
  <si>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</si>
  <si>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</si>
  <si>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</si>
  <si>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</si>
  <si>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</si>
  <si>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</si>
  <si>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</si>
  <si>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</si>
  <si>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</si>
  <si>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</si>
  <si>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</si>
  <si>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</si>
  <si>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</si>
  <si>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</si>
  <si>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</si>
  <si>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</si>
  <si>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</si>
  <si>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</si>
  <si>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</si>
  <si>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</si>
  <si>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</si>
  <si>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</si>
  <si>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</si>
  <si>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</si>
  <si>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</si>
  <si>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</si>
  <si>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</si>
  <si>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</si>
  <si>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</si>
  <si>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</si>
  <si>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</si>
  <si>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</si>
  <si>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</si>
  <si>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</si>
  <si>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</si>
  <si>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</si>
  <si>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</si>
  <si>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</si>
  <si>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</si>
  <si>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</si>
  <si>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</si>
  <si>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</si>
  <si>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</si>
  <si>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</si>
  <si>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</si>
  <si>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</si>
  <si>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</si>
  <si>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</si>
  <si>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</si>
  <si>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</si>
  <si>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</si>
  <si>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</si>
  <si>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</si>
  <si>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</si>
  <si>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</si>
  <si>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</si>
  <si>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</si>
  <si>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</si>
  <si>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</si>
  <si>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</si>
  <si>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</si>
  <si>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</si>
  <si>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</si>
  <si>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</si>
  <si>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</si>
  <si>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</si>
  <si>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</si>
  <si>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</si>
  <si>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</si>
  <si>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</si>
  <si>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</si>
  <si>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</si>
  <si>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</si>
  <si>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</si>
  <si>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</si>
  <si>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</si>
  <si>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</si>
  <si>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</si>
  <si>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</si>
  <si>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</si>
  <si>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</si>
  <si>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</si>
  <si>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</si>
  <si>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</si>
  <si>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</si>
  <si>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</si>
  <si>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</si>
  <si>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</si>
  <si>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</si>
  <si>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</si>
  <si>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</si>
  <si>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</si>
  <si>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</si>
  <si>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</si>
  <si>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</si>
  <si>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</si>
  <si>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</si>
  <si>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</si>
  <si>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</si>
  <si>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</si>
  <si>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</si>
  <si>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</si>
  <si>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</si>
  <si>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</si>
  <si>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</si>
  <si>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</si>
  <si>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</si>
  <si>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</si>
  <si>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</si>
  <si>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</si>
  <si>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</si>
  <si>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</si>
  <si>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</si>
  <si>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</si>
  <si>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</si>
  <si>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</si>
  <si>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</si>
  <si>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</si>
  <si>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</si>
  <si>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</si>
  <si>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</si>
  <si>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</si>
  <si>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</si>
  <si>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</si>
  <si>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</si>
  <si>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</si>
  <si>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</si>
  <si>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</si>
  <si>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</si>
  <si>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</si>
  <si>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</si>
  <si>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</si>
  <si>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</si>
  <si>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</si>
  <si>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</si>
  <si>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</si>
  <si>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</si>
  <si>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</si>
  <si>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</si>
  <si>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</si>
  <si>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</si>
  <si>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</si>
  <si>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</si>
  <si>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</si>
  <si>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</si>
  <si>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</si>
  <si>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</si>
  <si>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</si>
  <si>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</si>
  <si>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</si>
  <si>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</si>
  <si>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</si>
  <si>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</si>
  <si>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</si>
  <si>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</si>
  <si>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</si>
  <si>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</si>
  <si>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</si>
  <si>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</si>
  <si>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</si>
  <si>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</si>
  <si>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</si>
  <si>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</si>
  <si>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</si>
  <si>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</si>
  <si>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</si>
  <si>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</si>
  <si>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</si>
  <si>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</si>
  <si>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</si>
  <si>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</si>
  <si>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</si>
  <si>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</si>
  <si>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</si>
  <si>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</si>
  <si>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</si>
  <si>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</si>
  <si>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</si>
  <si>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</si>
  <si>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</si>
  <si>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</si>
  <si>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</si>
  <si>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</si>
  <si>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</si>
  <si>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</si>
  <si>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</si>
  <si>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</si>
  <si>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</si>
  <si>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</si>
  <si>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</si>
  <si>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</si>
  <si>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</si>
  <si>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</si>
  <si>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</si>
  <si>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</si>
  <si>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</si>
  <si>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</si>
  <si>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</si>
  <si>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</si>
  <si>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</si>
  <si>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</si>
  <si>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</si>
  <si>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</si>
  <si>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</si>
  <si>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</si>
  <si>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</si>
  <si>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</si>
  <si>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</si>
  <si>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</si>
  <si>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</si>
  <si>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</si>
  <si>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</si>
  <si>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</si>
  <si>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</si>
  <si>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</si>
  <si>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</si>
  <si>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</si>
  <si>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</si>
  <si>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</si>
  <si>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</si>
  <si>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</si>
  <si>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</si>
  <si>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</si>
  <si>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</si>
  <si>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</si>
  <si>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</si>
  <si>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</si>
  <si>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</si>
  <si>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</si>
  <si>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</si>
  <si>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</si>
  <si>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</si>
  <si>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</si>
  <si>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</si>
  <si>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</si>
  <si>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</si>
  <si>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</si>
  <si>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</si>
  <si>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</si>
  <si>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</si>
  <si>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</si>
  <si>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</si>
  <si>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</si>
  <si>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</si>
  <si>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</si>
  <si>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</si>
  <si>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</si>
  <si>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</si>
  <si>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</si>
  <si>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</si>
  <si>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</si>
  <si>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</si>
  <si>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</si>
  <si>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</si>
  <si>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</si>
  <si>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</si>
  <si>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</si>
  <si>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</si>
  <si>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</si>
  <si>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</si>
  <si>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</si>
  <si>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</si>
  <si>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</si>
  <si>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</si>
  <si>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</si>
  <si>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</si>
  <si>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</si>
  <si>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</si>
  <si>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</si>
  <si>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</si>
  <si>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</si>
  <si>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</si>
  <si>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</si>
  <si>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</si>
  <si>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</si>
  <si>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</si>
  <si>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</si>
  <si>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</si>
  <si>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</si>
  <si>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</si>
  <si>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</si>
  <si>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</si>
  <si>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</si>
  <si>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</si>
  <si>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</si>
  <si>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</si>
  <si>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</si>
  <si>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</si>
  <si>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</si>
  <si>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</si>
  <si>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</si>
  <si>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</si>
  <si>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</si>
  <si>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</si>
  <si>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</si>
  <si>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</si>
  <si>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</si>
  <si>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</si>
  <si>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</si>
  <si>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</si>
  <si>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</si>
  <si>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</si>
  <si>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</si>
  <si>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</si>
  <si>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</si>
  <si>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</si>
  <si>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</si>
  <si>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</si>
  <si>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</si>
  <si>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</si>
  <si>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</si>
  <si>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</si>
  <si>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</si>
  <si>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</si>
  <si>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</si>
  <si>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</si>
  <si>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</si>
  <si>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</si>
  <si>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</si>
  <si>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</si>
  <si>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</si>
  <si>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</si>
  <si>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</si>
  <si>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</si>
  <si>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</si>
  <si>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</si>
  <si>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</si>
  <si>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</si>
  <si>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</si>
  <si>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</si>
  <si>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</si>
  <si>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</si>
  <si>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</si>
  <si>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</si>
  <si>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</si>
  <si>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</si>
  <si>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</si>
  <si>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</si>
  <si>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</si>
  <si>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</si>
  <si>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</si>
  <si>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</si>
  <si>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</si>
  <si>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</si>
  <si>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</si>
  <si>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</si>
  <si>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</si>
  <si>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</si>
  <si>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</si>
  <si>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</si>
  <si>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</si>
  <si>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</si>
  <si>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</si>
  <si>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</si>
  <si>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</si>
  <si>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</si>
  <si>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</si>
  <si>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</si>
  <si>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</si>
  <si>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</si>
  <si>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</si>
  <si>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</si>
  <si>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</si>
  <si>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</si>
  <si>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</si>
  <si>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</si>
  <si>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</si>
  <si>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</si>
  <si>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</si>
  <si>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</si>
  <si>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</si>
  <si>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</si>
  <si>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</si>
  <si>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</si>
  <si>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</si>
  <si>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</si>
  <si>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</si>
  <si>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</si>
  <si>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</si>
  <si>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</si>
  <si>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</si>
  <si>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</si>
  <si>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</si>
  <si>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</si>
  <si>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</si>
  <si>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</si>
  <si>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</si>
  <si>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</si>
  <si>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</si>
  <si>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</si>
  <si>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</si>
  <si>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</si>
  <si>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</si>
  <si>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</si>
  <si>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</si>
  <si>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</si>
  <si>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</si>
  <si>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</si>
  <si>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</si>
  <si>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</si>
  <si>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</si>
  <si>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</si>
  <si>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</si>
  <si>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</si>
  <si>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</si>
  <si>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</si>
  <si>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</si>
  <si>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</si>
  <si>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</si>
  <si>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</si>
  <si>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</si>
  <si>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</si>
  <si>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</si>
  <si>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</si>
  <si>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</si>
  <si>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</si>
  <si>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</si>
  <si>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</si>
  <si>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</si>
  <si>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</si>
  <si>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</si>
  <si>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</si>
  <si>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</si>
  <si>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</si>
  <si>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</si>
  <si>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</si>
  <si>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</si>
  <si>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</si>
  <si>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</si>
  <si>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</si>
  <si>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</si>
  <si>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</si>
  <si>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</si>
  <si>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</si>
  <si>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</si>
  <si>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</si>
  <si>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</si>
  <si>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</si>
  <si>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</si>
  <si>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</si>
  <si>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</si>
  <si>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</si>
  <si>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</si>
  <si>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</si>
  <si>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</si>
  <si>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</si>
  <si>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</si>
  <si>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</si>
  <si>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</si>
  <si>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</si>
  <si>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</si>
  <si>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</si>
  <si>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</si>
  <si>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</si>
  <si>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</si>
  <si>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</si>
  <si>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</si>
  <si>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</si>
  <si>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</si>
  <si>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</si>
  <si>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</si>
  <si>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</si>
  <si>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</si>
  <si>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</si>
  <si>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</si>
  <si>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</si>
  <si>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</si>
  <si>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</si>
  <si>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</si>
  <si>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</si>
  <si>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</si>
  <si>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</si>
  <si>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</si>
  <si>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</si>
  <si>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</si>
  <si>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</si>
  <si>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</si>
  <si>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</si>
  <si>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</si>
  <si>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</si>
  <si>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</si>
  <si>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</si>
  <si>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</si>
  <si>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</si>
  <si>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</si>
  <si>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</si>
  <si>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</si>
  <si>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</si>
  <si>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</si>
  <si>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</si>
  <si>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</si>
  <si>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</si>
  <si>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</si>
  <si>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</si>
  <si>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</si>
  <si>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</si>
  <si>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</si>
  <si>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</si>
  <si>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</si>
  <si>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</si>
  <si>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</si>
  <si>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</si>
  <si>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</si>
  <si>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</si>
  <si>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</si>
  <si>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</si>
  <si>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</si>
  <si>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</si>
  <si>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</si>
  <si>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</si>
  <si>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</si>
  <si>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</si>
  <si>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</si>
  <si>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</si>
  <si>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</si>
  <si>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</si>
  <si>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</si>
  <si>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</si>
  <si>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</si>
  <si>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</si>
  <si>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</si>
  <si>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</si>
  <si>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</si>
  <si>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</si>
  <si>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</si>
  <si>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</si>
  <si>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</si>
  <si>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</si>
  <si>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</si>
  <si>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</si>
  <si>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</si>
  <si>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</si>
  <si>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</si>
  <si>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</si>
  <si>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</si>
  <si>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</si>
  <si>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</si>
  <si>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</si>
  <si>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</si>
  <si>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</si>
  <si>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</si>
  <si>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</si>
  <si>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</si>
  <si>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</si>
  <si>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</si>
  <si>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</si>
  <si>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</si>
  <si>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</si>
  <si>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</si>
  <si>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</si>
  <si>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</si>
  <si>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</si>
  <si>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</si>
  <si>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</si>
  <si>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</si>
  <si>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</si>
  <si>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</si>
  <si>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</si>
  <si>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</si>
  <si>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</si>
  <si>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</si>
  <si>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</si>
  <si>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</si>
  <si>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</si>
  <si>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</si>
  <si>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</si>
  <si>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</si>
  <si>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</si>
  <si>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</si>
  <si>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</si>
  <si>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</si>
  <si>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</si>
  <si>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</si>
  <si>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</si>
  <si>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</si>
  <si>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</si>
  <si>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</si>
  <si>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</si>
  <si>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</si>
  <si>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</si>
  <si>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</si>
  <si>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</si>
  <si>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</si>
  <si>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</si>
  <si>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</si>
  <si>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</si>
  <si>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</si>
  <si>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</si>
  <si>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</si>
  <si>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</si>
  <si>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</si>
  <si>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</si>
  <si>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</si>
  <si>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</si>
  <si>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</si>
  <si>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</si>
  <si>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</si>
  <si>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</si>
  <si>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</si>
  <si>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</si>
  <si>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</si>
  <si>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</si>
  <si>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</si>
  <si>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</si>
  <si>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</si>
  <si>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</si>
  <si>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</si>
  <si>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</si>
  <si>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</si>
  <si>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</si>
  <si>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</si>
  <si>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</si>
  <si>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</si>
  <si>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</si>
  <si>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</si>
  <si>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</si>
  <si>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</si>
  <si>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</si>
  <si>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</si>
  <si>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</si>
  <si>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</si>
  <si>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</si>
  <si>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</si>
  <si>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</si>
  <si>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</si>
  <si>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</si>
  <si>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</si>
  <si>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</si>
  <si>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</si>
  <si>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</si>
  <si>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</si>
  <si>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</si>
  <si>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</si>
  <si>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</si>
  <si>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</si>
  <si>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</si>
  <si>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</si>
  <si>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</si>
  <si>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</si>
  <si>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</si>
  <si>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</si>
  <si>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</si>
  <si>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</si>
  <si>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</si>
  <si>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</si>
  <si>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</si>
  <si>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</si>
  <si>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</si>
  <si>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</si>
  <si>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</si>
  <si>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</si>
  <si>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</si>
  <si>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</si>
  <si>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</si>
  <si>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</si>
  <si>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</si>
  <si>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</si>
  <si>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</si>
  <si>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</si>
  <si>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</si>
  <si>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</si>
  <si>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</si>
  <si>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</si>
  <si>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</si>
  <si>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</si>
  <si>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</si>
  <si>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</si>
  <si>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</si>
  <si>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</si>
  <si>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</si>
  <si>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</si>
  <si>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</si>
  <si>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</si>
  <si>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</si>
  <si>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</si>
  <si>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</si>
  <si>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</si>
  <si>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</si>
  <si>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</si>
  <si>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</si>
  <si>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</si>
  <si>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</si>
  <si>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</si>
  <si>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</si>
  <si>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</si>
  <si>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</si>
  <si>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</si>
  <si>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</si>
  <si>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</si>
  <si>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</si>
  <si>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</si>
  <si>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</si>
  <si>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</si>
  <si>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</si>
  <si>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</si>
  <si>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</si>
  <si>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</si>
  <si>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</si>
  <si>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</si>
  <si>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</si>
  <si>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</si>
  <si>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</si>
  <si>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</si>
  <si>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</si>
  <si>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</si>
  <si>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</si>
  <si>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</si>
  <si>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</si>
  <si>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</si>
  <si>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</si>
  <si>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</si>
  <si>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</si>
  <si>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</si>
  <si>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</si>
  <si>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</si>
  <si>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</si>
  <si>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</si>
  <si>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</si>
  <si>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</si>
  <si>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</si>
  <si>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</si>
  <si>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</si>
  <si>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</si>
  <si>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</si>
  <si>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</si>
  <si>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</si>
  <si>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</si>
  <si>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</si>
  <si>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</si>
  <si>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</si>
  <si>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</si>
  <si>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</si>
  <si>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</si>
  <si>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</si>
  <si>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</si>
  <si>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</si>
  <si>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</si>
  <si>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</si>
  <si>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</si>
  <si>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</si>
  <si>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</si>
  <si>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</si>
  <si>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</si>
  <si>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</si>
  <si>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</si>
  <si>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</si>
  <si>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</si>
  <si>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</si>
  <si>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</si>
  <si>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</si>
  <si>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</si>
  <si>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</si>
  <si>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</si>
  <si>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</si>
  <si>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</si>
  <si>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</si>
  <si>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</si>
  <si>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</si>
  <si>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</si>
  <si>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</si>
  <si>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</si>
  <si>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</si>
  <si>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</si>
  <si>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</si>
  <si>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 xml:space="preserve">This spreadsheet is for use only by ‘[VS] Horizon-ShanghaiJ3’.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</si>
</sst>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"/>
    <numFmt numFmtId="165" formatCode="00000000000000000000000000000000"/>
    <numFmt numFmtId="166" formatCode="00"/>
    <numFmt numFmtId="167" formatCode="000"/>
    <numFmt numFmtId="168" formatCode="0000"/>
    <numFmt numFmtId="169" formatCode="0.00000E+00"/>
    <numFmt numFmtId="170" formatCode="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5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7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2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10" borderId="1" xfId="0" applyFill="1" applyBorder="1" applyAlignment="1">
      <alignment horizontal="left" wrapText="1"/>
    </xf>
    <xf numFmtId="0" fontId="0" fillId="11" borderId="1" xfId="0" applyFill="1" applyBorder="1" applyAlignment="1">
      <alignment horizontal="left" wrapText="1"/>
    </xf>
    <xf numFmtId="0" fontId="0" fillId="12" borderId="1" xfId="0" applyFill="1" applyBorder="1" applyAlignment="1">
      <alignment horizontal="left" wrapText="1"/>
    </xf>
    <xf numFmtId="0" fontId="0" fillId="12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4" fillId="0" borderId="0" xfId="0" applyFont="1"/>
    <xf numFmtId="0" fontId="0" fillId="4" borderId="1" xfId="0" applyFill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9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3" borderId="0" xfId="0" applyFill="1"/>
    <xf numFmtId="0" fontId="0" fillId="14" borderId="0" xfId="0" applyFill="1"/>
    <xf numFmtId="0" fontId="0" fillId="13" borderId="0" xfId="0" applyFill="1" applyAlignment="1">
      <alignment horizontal="center" vertical="center"/>
    </xf>
    <xf numFmtId="0" fontId="6" fillId="15" borderId="7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6" borderId="10" xfId="0" applyFont="1" applyFill="1" applyBorder="1"/>
    <xf numFmtId="0" fontId="6" fillId="16" borderId="0" xfId="0" applyFont="1" applyFill="1" applyBorder="1"/>
    <xf numFmtId="0" fontId="6" fillId="16" borderId="11" xfId="0" applyFont="1" applyFill="1" applyBorder="1"/>
    <xf numFmtId="0" fontId="6" fillId="15" borderId="10" xfId="0" applyFont="1" applyFill="1" applyBorder="1"/>
    <xf numFmtId="0" fontId="6" fillId="15" borderId="0" xfId="0" applyFont="1" applyFill="1" applyBorder="1"/>
    <xf numFmtId="0" fontId="6" fillId="15" borderId="11" xfId="0" applyFont="1" applyFill="1" applyBorder="1"/>
    <xf numFmtId="0" fontId="6" fillId="15" borderId="12" xfId="0" applyFont="1" applyFill="1" applyBorder="1"/>
    <xf numFmtId="0" fontId="6" fillId="15" borderId="13" xfId="0" applyFont="1" applyFill="1" applyBorder="1"/>
    <xf numFmtId="0" fontId="7" fillId="4" borderId="6" xfId="0" applyFont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3" borderId="0" xfId="0" applyFill="1" applyBorder="1" applyAlignment="1">
      <alignment horizontal="right"/>
    </xf>
    <xf numFmtId="0" fontId="0" fillId="3" borderId="5" xfId="0" applyFill="1" applyBorder="1" applyAlignment="1"/>
    <xf numFmtId="0" fontId="0" fillId="3" borderId="0" xfId="0" applyFill="1" applyBorder="1" applyAlignment="1"/>
    <xf numFmtId="2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 applyBorder="1"/>
    <xf numFmtId="168" fontId="0" fillId="0" borderId="0" xfId="0" applyNumberFormat="1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3" xfId="0" applyBorder="1"/>
    <xf numFmtId="0" fontId="0" fillId="15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0" fillId="5" borderId="1" xfId="0" applyFont="1" applyFill="1" applyBorder="1"/>
    <xf numFmtId="0" fontId="0" fillId="5" borderId="0" xfId="0" applyFill="1"/>
    <xf numFmtId="166" fontId="0" fillId="0" borderId="1" xfId="0" applyNumberFormat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0" fillId="5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8" fontId="0" fillId="0" borderId="1" xfId="0" applyNumberFormat="1" applyBorder="1"/>
    <xf numFmtId="166" fontId="0" fillId="0" borderId="1" xfId="0" applyNumberFormat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0" fontId="1" fillId="2" borderId="14" xfId="0" applyFont="1" applyFill="1" applyBorder="1"/>
    <xf numFmtId="0" fontId="0" fillId="0" borderId="0" xfId="0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5" borderId="16" xfId="0" applyFont="1" applyFill="1" applyBorder="1"/>
    <xf numFmtId="0" fontId="0" fillId="14" borderId="2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0" fillId="13" borderId="2" xfId="0" applyFill="1" applyBorder="1"/>
    <xf numFmtId="0" fontId="0" fillId="5" borderId="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3" xfId="0" applyFill="1" applyBorder="1" applyAlignment="1" applyProtection="1">
      <alignment horizontal="left"/>
    </xf>
    <xf numFmtId="0" fontId="3" fillId="4" borderId="1" xfId="0" applyFont="1" applyFill="1" applyBorder="1" applyAlignment="1" applyProtection="1">
      <alignment horizontal="left" wrapText="1"/>
      <protection locked="0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0" borderId="1" xfId="0" quotePrefix="1" applyFont="1" applyBorder="1" applyAlignment="1" applyProtection="1">
      <alignment horizontal="left" wrapText="1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wrapText="1"/>
      <protection locked="0"/>
    </xf>
    <xf numFmtId="0" fontId="0" fillId="4" borderId="1" xfId="0" applyNumberFormat="1" applyFill="1" applyBorder="1" applyAlignment="1" applyProtection="1">
      <alignment horizontal="left"/>
      <protection locked="0"/>
    </xf>
    <xf numFmtId="0" fontId="0" fillId="4" borderId="1" xfId="0" applyNumberFormat="1" applyFill="1" applyBorder="1" applyAlignment="1" applyProtection="1">
      <alignment horizontal="left" wrapText="1"/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left" wrapText="1"/>
      <protection locked="0"/>
    </xf>
    <xf numFmtId="170" fontId="0" fillId="4" borderId="1" xfId="0" applyNumberFormat="1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6" fillId="15" borderId="10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17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462F"/>
      <color rgb="FF7D92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9530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A3AC11-BE52-4DB4-8B62-A0F3C47278FD}"/>
            </a:ext>
          </a:extLst>
        </xdr:cNvPr>
        <xdr:cNvSpPr/>
      </xdr:nvSpPr>
      <xdr:spPr>
        <a:xfrm>
          <a:off x="86456" y="978985"/>
          <a:ext cx="11736546" cy="159530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7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933E70-DAB8-4377-9D7C-9746D921C420}"/>
            </a:ext>
          </a:extLst>
        </xdr:cNvPr>
        <xdr:cNvSpPr/>
      </xdr:nvSpPr>
      <xdr:spPr>
        <a:xfrm>
          <a:off x="0" y="0"/>
          <a:ext cx="4290277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90C4-4188-4AC6-B80B-E4C0AF494CD7}">
  <dimension ref="A1:A10"/>
  <sheetViews>
    <sheetView workbookViewId="0">
      <selection activeCell="D24" sqref="D24"/>
    </sheetView>
  </sheetViews>
  <sheetFormatPr defaultRowHeight="14.5" x14ac:dyDescent="0.35"/>
  <sheetData>
    <row r="1" s="42" customFormat="1" x14ac:dyDescent="0.35"/>
    <row r="2" s="42" customFormat="1" x14ac:dyDescent="0.35"/>
    <row r="3" s="42" customFormat="1" x14ac:dyDescent="0.35"/>
    <row r="4" s="42" customFormat="1" x14ac:dyDescent="0.35"/>
    <row r="10" ht="11.15" customHeight="1" x14ac:dyDescent="0.35"/>
  </sheetData>
  <sheetProtection algorithmName="SHA-512" hashValue="XJGKPZQC8fmU10YK0GFoNrf5CofRtKhSmJWg6M9DEM/srqEUiyI5fcfzFZDi8cdw6w24g5N77+4Kletdw74kTg==" saltValue="Sfb1HvQAYgHSh+EW4JLNZw==" spinCount="100000"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327B-B7C5-4026-BD99-39ADD5A8F426}">
  <dimension ref="A1:L23"/>
  <sheetViews>
    <sheetView tabSelected="1" workbookViewId="0">
      <selection activeCell="G6" sqref="G6"/>
    </sheetView>
  </sheetViews>
  <sheetFormatPr defaultRowHeight="14.5" x14ac:dyDescent="0.35"/>
  <cols>
    <col min="1" max="1" width="15.26953125" customWidth="1"/>
    <col min="4" max="4" width="11.81640625" customWidth="1"/>
    <col min="5" max="5" width="8.7265625" customWidth="1"/>
    <col min="6" max="6" width="56.81640625" customWidth="1"/>
    <col min="7" max="7" width="11.81640625" customWidth="1"/>
    <col min="8" max="8" width="10.81640625" bestFit="1" customWidth="1"/>
    <col min="12" max="12" width="11.7265625" customWidth="1"/>
  </cols>
  <sheetData>
    <row r="1" spans="1:12" ht="15" thickBot="1" x14ac:dyDescent="0.4">
      <c r="A1" s="117" t="s">
        <v>439</v>
      </c>
      <c r="G1" s="59" t="s">
        <v>455</v>
      </c>
    </row>
    <row r="2" spans="1:12" x14ac:dyDescent="0.35">
      <c r="A2" s="118" t="s">
        <v>888</v>
      </c>
      <c r="B2" s="118"/>
      <c r="C2" s="120"/>
      <c r="D2" s="120"/>
      <c r="E2" s="120"/>
      <c r="F2" s="120"/>
      <c r="G2" s="48" t="s">
        <v>433</v>
      </c>
      <c r="H2" s="49"/>
      <c r="I2" s="49"/>
      <c r="J2" s="49"/>
      <c r="K2" s="49"/>
      <c r="L2" s="50"/>
    </row>
    <row r="3" spans="1:12" x14ac:dyDescent="0.35">
      <c r="A3" s="119" t="s">
        <v>441</v>
      </c>
      <c r="B3" s="118"/>
      <c r="C3" s="2"/>
      <c r="D3" s="2"/>
      <c r="G3" s="51" t="s">
        <v>434</v>
      </c>
      <c r="H3" s="52"/>
      <c r="I3" s="52"/>
      <c r="J3" s="52"/>
      <c r="K3" s="52"/>
      <c r="L3" s="53"/>
    </row>
    <row r="4" spans="1:12" x14ac:dyDescent="0.35">
      <c r="G4" s="54" t="s">
        <v>403</v>
      </c>
      <c r="H4" s="55"/>
      <c r="I4" s="55"/>
      <c r="J4" s="55"/>
      <c r="K4" s="55"/>
      <c r="L4" s="56"/>
    </row>
    <row r="5" spans="1:12" x14ac:dyDescent="0.35">
      <c r="G5" s="51" t="s">
        <v>437</v>
      </c>
      <c r="H5" s="52"/>
      <c r="I5" s="52"/>
      <c r="J5" s="52"/>
      <c r="K5" s="52"/>
      <c r="L5" s="53"/>
    </row>
    <row r="6" spans="1:12" x14ac:dyDescent="0.35">
      <c r="A6" s="46" t="s">
        <v>438</v>
      </c>
      <c r="G6" s="139" t="s">
        <v>904</v>
      </c>
      <c r="H6" s="55"/>
      <c r="I6" s="55"/>
      <c r="J6" s="55"/>
      <c r="K6" s="55"/>
      <c r="L6" s="56"/>
    </row>
    <row r="7" spans="1:12" x14ac:dyDescent="0.35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" thickBot="1" x14ac:dyDescent="0.4">
      <c r="A8" s="45" t="s">
        <v>883</v>
      </c>
      <c r="B8" s="45"/>
      <c r="C8" s="45"/>
      <c r="D8" s="45"/>
      <c r="E8" s="45"/>
      <c r="F8" s="45"/>
      <c r="G8" s="116" t="s">
        <v>440</v>
      </c>
      <c r="H8" s="57"/>
      <c r="I8" s="57"/>
      <c r="J8" s="57"/>
      <c r="K8" s="57"/>
      <c r="L8" s="58"/>
    </row>
    <row r="9" spans="1:12" x14ac:dyDescent="0.35">
      <c r="A9" s="45" t="s">
        <v>881</v>
      </c>
      <c r="B9" s="45"/>
      <c r="C9" s="45"/>
      <c r="D9" s="45"/>
      <c r="E9" s="45"/>
      <c r="F9" s="45"/>
      <c r="G9" s="115"/>
    </row>
    <row r="10" spans="1:12" x14ac:dyDescent="0.35">
      <c r="A10" s="45" t="s">
        <v>882</v>
      </c>
      <c r="B10" s="45"/>
      <c r="C10" s="45"/>
      <c r="D10" s="45"/>
      <c r="E10" s="45"/>
      <c r="F10" s="45"/>
    </row>
    <row r="12" spans="1:12" x14ac:dyDescent="0.35">
      <c r="A12" s="46" t="s">
        <v>442</v>
      </c>
    </row>
    <row r="13" spans="1:12" x14ac:dyDescent="0.35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 x14ac:dyDescent="0.35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 x14ac:dyDescent="0.35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 x14ac:dyDescent="0.35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 x14ac:dyDescent="0.35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 x14ac:dyDescent="0.35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 x14ac:dyDescent="0.35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4"/>
    </row>
    <row r="20" spans="1:7" x14ac:dyDescent="0.35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 x14ac:dyDescent="0.35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 x14ac:dyDescent="0.35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 x14ac:dyDescent="0.35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23CF-F597-4898-B893-96ACF30905AD}">
  <dimension ref="A2:AS131"/>
  <sheetViews>
    <sheetView zoomScale="75" zoomScaleNormal="100" workbookViewId="0">
      <selection activeCell="B4" sqref="B4"/>
    </sheetView>
  </sheetViews>
  <sheetFormatPr defaultRowHeight="14.5" x14ac:dyDescent="0.35"/>
  <cols>
    <col min="1" max="1" width="25.7265625" style="5" customWidth="1"/>
    <col min="2" max="2" width="23.7265625" style="5" customWidth="1"/>
    <col min="3" max="3" width="28.453125" style="5" customWidth="1"/>
    <col min="4" max="4" width="12.1796875" style="5" customWidth="1"/>
    <col min="5" max="5" width="49.54296875" style="22" customWidth="1"/>
    <col min="6" max="6" width="4.54296875" customWidth="1"/>
    <col min="7" max="7" width="22.453125" customWidth="1"/>
    <col min="8" max="42" width="4.453125" customWidth="1"/>
    <col min="43" max="43" width="3.54296875" customWidth="1"/>
    <col min="44" max="45" width="4.453125" customWidth="1"/>
  </cols>
  <sheetData>
    <row r="2" spans="1:45" x14ac:dyDescent="0.35">
      <c r="A2" s="13" t="s">
        <v>391</v>
      </c>
      <c r="B2" s="13" t="s">
        <v>84</v>
      </c>
      <c r="C2" s="13" t="s">
        <v>88</v>
      </c>
      <c r="D2" s="23" t="s">
        <v>286</v>
      </c>
    </row>
    <row r="3" spans="1:45" x14ac:dyDescent="0.35">
      <c r="A3" s="24" t="s">
        <v>287</v>
      </c>
      <c r="B3" s="126">
        <v>0.46800000000000003</v>
      </c>
      <c r="C3" s="27" t="s">
        <v>89</v>
      </c>
      <c r="D3" s="8"/>
    </row>
    <row r="4" spans="1:45" x14ac:dyDescent="0.35">
      <c r="A4" s="24" t="s">
        <v>104</v>
      </c>
      <c r="B4" s="127"/>
      <c r="C4" s="27" t="s">
        <v>89</v>
      </c>
      <c r="D4" s="28"/>
      <c r="F4" s="40"/>
      <c r="G4" s="1" t="s">
        <v>402</v>
      </c>
    </row>
    <row r="5" spans="1:45" x14ac:dyDescent="0.35">
      <c r="A5" s="24" t="s">
        <v>87</v>
      </c>
      <c r="B5" s="128" t="s">
        <v>456</v>
      </c>
      <c r="C5" s="27" t="s">
        <v>404</v>
      </c>
      <c r="D5" s="8"/>
      <c r="F5" s="32"/>
      <c r="G5" s="1" t="s">
        <v>408</v>
      </c>
    </row>
    <row r="6" spans="1:45" x14ac:dyDescent="0.35">
      <c r="A6" s="24" t="s">
        <v>306</v>
      </c>
      <c r="B6" s="126">
        <v>0</v>
      </c>
      <c r="C6" s="27" t="s">
        <v>387</v>
      </c>
      <c r="D6" s="8"/>
      <c r="F6" s="31"/>
      <c r="G6" s="1" t="s">
        <v>409</v>
      </c>
    </row>
    <row r="7" spans="1:45" ht="29" x14ac:dyDescent="0.35">
      <c r="A7" s="8" t="s">
        <v>213</v>
      </c>
      <c r="B7" s="129">
        <v>0</v>
      </c>
      <c r="C7" s="17" t="s">
        <v>386</v>
      </c>
      <c r="D7" s="8"/>
    </row>
    <row r="8" spans="1:45" ht="61.5" customHeight="1" x14ac:dyDescent="0.35">
      <c r="A8" s="8" t="s">
        <v>135</v>
      </c>
      <c r="B8" s="129">
        <v>0</v>
      </c>
      <c r="C8" s="32" t="s">
        <v>466</v>
      </c>
      <c r="D8" s="8"/>
    </row>
    <row r="9" spans="1:45" ht="30.65" customHeight="1" x14ac:dyDescent="0.35">
      <c r="A9" s="8" t="s">
        <v>295</v>
      </c>
      <c r="B9" s="129">
        <v>0</v>
      </c>
      <c r="C9" s="17" t="s">
        <v>385</v>
      </c>
      <c r="D9" s="8"/>
    </row>
    <row r="10" spans="1:45" ht="71.150000000000006" customHeight="1" x14ac:dyDescent="0.35">
      <c r="A10" s="18" t="s">
        <v>371</v>
      </c>
      <c r="B10" s="129">
        <v>0</v>
      </c>
      <c r="C10" s="31" t="s">
        <v>410</v>
      </c>
      <c r="D10" s="18"/>
    </row>
    <row r="11" spans="1:45" x14ac:dyDescent="0.35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5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5" customHeight="1" x14ac:dyDescent="0.35">
      <c r="A13" s="25" t="s">
        <v>86</v>
      </c>
      <c r="B13" s="127">
        <v>0</v>
      </c>
      <c r="C13" s="27" t="s">
        <v>89</v>
      </c>
      <c r="D13" s="8">
        <f>ROUNDDOWN(B13/B3,0)</f>
        <v>0</v>
      </c>
      <c r="E13" s="17" t="s">
        <v>381</v>
      </c>
      <c r="G13" s="108" t="s">
        <v>838</v>
      </c>
      <c r="H13" s="137">
        <v>0</v>
      </c>
      <c r="I13" s="114" t="s">
        <v>887</v>
      </c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" customHeight="1" x14ac:dyDescent="0.35">
      <c r="A14" s="25" t="s">
        <v>91</v>
      </c>
      <c r="B14" s="127">
        <v>0</v>
      </c>
      <c r="C14" s="27" t="s">
        <v>89</v>
      </c>
      <c r="D14" s="8">
        <f>ROUNDUP(B14/B3,0)</f>
        <v>0</v>
      </c>
      <c r="E14" s="17" t="s">
        <v>407</v>
      </c>
      <c r="G14" s="8" t="s">
        <v>848</v>
      </c>
      <c r="H14" s="132" t="s">
        <v>885</v>
      </c>
      <c r="I14" s="111" t="s">
        <v>878</v>
      </c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</row>
    <row r="15" spans="1:45" ht="29.15" customHeight="1" x14ac:dyDescent="0.35">
      <c r="A15" s="25" t="s">
        <v>92</v>
      </c>
      <c r="B15" s="127">
        <v>0</v>
      </c>
      <c r="C15" s="27" t="s">
        <v>89</v>
      </c>
      <c r="D15" s="8">
        <f>B15</f>
        <v>0</v>
      </c>
      <c r="E15" s="17" t="s">
        <v>417</v>
      </c>
      <c r="G15" s="8" t="s">
        <v>844</v>
      </c>
      <c r="H15" s="138">
        <v>15</v>
      </c>
      <c r="I15" s="113" t="s">
        <v>879</v>
      </c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0"/>
      <c r="AS15" s="21"/>
    </row>
    <row r="16" spans="1:45" x14ac:dyDescent="0.35">
      <c r="A16" s="25" t="s">
        <v>93</v>
      </c>
      <c r="B16" s="127">
        <v>0</v>
      </c>
      <c r="C16" s="27" t="s">
        <v>89</v>
      </c>
      <c r="D16" s="8">
        <f>ROUNDUP(B16/B3,0)</f>
        <v>0</v>
      </c>
      <c r="E16" s="17" t="s">
        <v>407</v>
      </c>
      <c r="G16" s="8" t="s">
        <v>762</v>
      </c>
      <c r="H16" s="105" t="s">
        <v>792</v>
      </c>
      <c r="I16" s="105" t="s">
        <v>793</v>
      </c>
      <c r="J16" s="105" t="s">
        <v>794</v>
      </c>
      <c r="K16" s="105" t="s">
        <v>774</v>
      </c>
      <c r="L16" s="105" t="s">
        <v>773</v>
      </c>
      <c r="M16" s="105" t="s">
        <v>772</v>
      </c>
      <c r="N16" s="105" t="s">
        <v>764</v>
      </c>
      <c r="O16" s="105" t="s">
        <v>765</v>
      </c>
      <c r="P16" s="105" t="s">
        <v>766</v>
      </c>
      <c r="Q16" s="105" t="s">
        <v>767</v>
      </c>
      <c r="R16" s="105" t="s">
        <v>768</v>
      </c>
      <c r="S16" s="105" t="s">
        <v>769</v>
      </c>
      <c r="T16" s="105" t="s">
        <v>770</v>
      </c>
      <c r="U16" s="105" t="s">
        <v>771</v>
      </c>
      <c r="V16" s="105" t="s">
        <v>799</v>
      </c>
      <c r="W16" s="105" t="s">
        <v>800</v>
      </c>
      <c r="X16" s="105" t="s">
        <v>801</v>
      </c>
      <c r="Y16" s="105" t="s">
        <v>802</v>
      </c>
      <c r="Z16" s="105" t="s">
        <v>803</v>
      </c>
      <c r="AA16" s="105" t="s">
        <v>804</v>
      </c>
      <c r="AB16" s="105" t="s">
        <v>775</v>
      </c>
      <c r="AC16" s="105" t="s">
        <v>776</v>
      </c>
      <c r="AD16" s="105" t="s">
        <v>777</v>
      </c>
      <c r="AE16" s="105" t="s">
        <v>778</v>
      </c>
      <c r="AF16" s="105" t="s">
        <v>779</v>
      </c>
      <c r="AG16" s="105" t="s">
        <v>780</v>
      </c>
      <c r="AH16" s="105" t="s">
        <v>781</v>
      </c>
      <c r="AI16" s="105" t="s">
        <v>782</v>
      </c>
      <c r="AJ16" s="105" t="s">
        <v>783</v>
      </c>
      <c r="AK16" s="105" t="s">
        <v>784</v>
      </c>
      <c r="AL16" s="105" t="s">
        <v>785</v>
      </c>
      <c r="AM16" s="105" t="s">
        <v>786</v>
      </c>
      <c r="AN16" s="105" t="s">
        <v>787</v>
      </c>
      <c r="AO16" s="105" t="s">
        <v>788</v>
      </c>
      <c r="AP16" s="105" t="s">
        <v>789</v>
      </c>
      <c r="AQ16" s="105" t="s">
        <v>790</v>
      </c>
      <c r="AR16" s="105" t="s">
        <v>763</v>
      </c>
      <c r="AS16" s="105" t="s">
        <v>807</v>
      </c>
    </row>
    <row r="17" spans="1:45" ht="29.15" customHeight="1" x14ac:dyDescent="0.35">
      <c r="A17" s="25" t="s">
        <v>94</v>
      </c>
      <c r="B17" s="127">
        <v>0</v>
      </c>
      <c r="C17" s="27" t="s">
        <v>89</v>
      </c>
      <c r="D17" s="8">
        <f>ROUNDUP(B17/B3,0)</f>
        <v>0</v>
      </c>
      <c r="E17" s="17" t="s">
        <v>418</v>
      </c>
      <c r="G17" s="8" t="s">
        <v>884</v>
      </c>
      <c r="H17" s="129" t="s">
        <v>805</v>
      </c>
      <c r="I17" s="129" t="s">
        <v>805</v>
      </c>
      <c r="J17" s="129" t="s">
        <v>805</v>
      </c>
      <c r="K17" s="129" t="s">
        <v>805</v>
      </c>
      <c r="L17" s="129" t="s">
        <v>805</v>
      </c>
      <c r="M17" s="129" t="s">
        <v>805</v>
      </c>
      <c r="N17" s="129" t="s">
        <v>805</v>
      </c>
      <c r="O17" s="129" t="s">
        <v>805</v>
      </c>
      <c r="P17" s="129" t="s">
        <v>805</v>
      </c>
      <c r="Q17" s="129" t="s">
        <v>805</v>
      </c>
      <c r="R17" s="129" t="s">
        <v>805</v>
      </c>
      <c r="S17" s="129" t="s">
        <v>805</v>
      </c>
      <c r="T17" s="129" t="s">
        <v>805</v>
      </c>
      <c r="U17" s="129" t="s">
        <v>805</v>
      </c>
      <c r="V17" s="129" t="s">
        <v>805</v>
      </c>
      <c r="W17" s="129" t="s">
        <v>805</v>
      </c>
      <c r="X17" s="129" t="s">
        <v>805</v>
      </c>
      <c r="Y17" s="129" t="s">
        <v>805</v>
      </c>
      <c r="Z17" s="129" t="s">
        <v>805</v>
      </c>
      <c r="AA17" s="129" t="s">
        <v>805</v>
      </c>
      <c r="AB17" s="129" t="s">
        <v>805</v>
      </c>
      <c r="AC17" s="129" t="s">
        <v>805</v>
      </c>
      <c r="AD17" s="129" t="s">
        <v>805</v>
      </c>
      <c r="AE17" s="129" t="s">
        <v>805</v>
      </c>
      <c r="AF17" s="129" t="s">
        <v>805</v>
      </c>
      <c r="AG17" s="129" t="s">
        <v>805</v>
      </c>
      <c r="AH17" s="129" t="s">
        <v>805</v>
      </c>
      <c r="AI17" s="129" t="s">
        <v>805</v>
      </c>
      <c r="AJ17" s="129" t="s">
        <v>805</v>
      </c>
      <c r="AK17" s="129" t="s">
        <v>805</v>
      </c>
      <c r="AL17" s="129" t="s">
        <v>805</v>
      </c>
      <c r="AM17" s="129" t="s">
        <v>805</v>
      </c>
      <c r="AN17" s="129" t="s">
        <v>805</v>
      </c>
      <c r="AO17" s="129" t="s">
        <v>805</v>
      </c>
      <c r="AP17" s="129" t="s">
        <v>805</v>
      </c>
      <c r="AQ17" s="129" t="s">
        <v>805</v>
      </c>
      <c r="AR17" s="129" t="s">
        <v>805</v>
      </c>
      <c r="AS17" s="129" t="s">
        <v>805</v>
      </c>
    </row>
    <row r="18" spans="1:45" ht="18.649999999999999" customHeight="1" x14ac:dyDescent="0.35">
      <c r="A18" s="25" t="s">
        <v>95</v>
      </c>
      <c r="B18" s="127">
        <v>0</v>
      </c>
      <c r="C18" s="27" t="s">
        <v>89</v>
      </c>
      <c r="D18" s="8">
        <f>ROUNDUP(B18/B3,0)</f>
        <v>0</v>
      </c>
      <c r="E18" s="17" t="s">
        <v>407</v>
      </c>
      <c r="H18" s="111" t="s">
        <v>806</v>
      </c>
      <c r="I18" s="111"/>
      <c r="J18" s="111"/>
      <c r="K18" s="111"/>
      <c r="L18" s="111"/>
      <c r="M18" s="111"/>
      <c r="N18" s="111"/>
    </row>
    <row r="19" spans="1:45" ht="18.649999999999999" customHeight="1" x14ac:dyDescent="0.35">
      <c r="A19" s="25" t="s">
        <v>96</v>
      </c>
      <c r="B19" s="127">
        <v>0</v>
      </c>
      <c r="C19" s="27" t="s">
        <v>89</v>
      </c>
      <c r="D19" s="8">
        <f>ROUNDUP(B19/B3,0)</f>
        <v>0</v>
      </c>
      <c r="E19" s="17" t="s">
        <v>407</v>
      </c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</row>
    <row r="20" spans="1:45" s="15" customFormat="1" ht="17.149999999999999" customHeight="1" x14ac:dyDescent="0.35">
      <c r="A20" s="25" t="s">
        <v>99</v>
      </c>
      <c r="B20" s="127">
        <v>0</v>
      </c>
      <c r="C20" s="29" t="s">
        <v>89</v>
      </c>
      <c r="D20" s="8">
        <f>ROUNDUP(B20/B3,0)</f>
        <v>0</v>
      </c>
      <c r="E20" s="17" t="s">
        <v>365</v>
      </c>
    </row>
    <row r="21" spans="1:45" x14ac:dyDescent="0.35">
      <c r="A21" s="25" t="s">
        <v>101</v>
      </c>
      <c r="B21" s="127">
        <v>0</v>
      </c>
      <c r="C21" s="27" t="s">
        <v>89</v>
      </c>
      <c r="D21" s="8">
        <f>ROUNDUP(B21/B3,0)</f>
        <v>0</v>
      </c>
      <c r="E21" s="17" t="s">
        <v>407</v>
      </c>
    </row>
    <row r="22" spans="1:45" x14ac:dyDescent="0.35">
      <c r="A22" s="27" t="s">
        <v>105</v>
      </c>
      <c r="B22" s="127">
        <v>0</v>
      </c>
      <c r="C22" s="27" t="s">
        <v>299</v>
      </c>
      <c r="D22" s="8">
        <f>B22</f>
        <v>0</v>
      </c>
      <c r="E22" s="17" t="s">
        <v>431</v>
      </c>
    </row>
    <row r="23" spans="1:45" x14ac:dyDescent="0.35">
      <c r="A23" s="24" t="s">
        <v>106</v>
      </c>
      <c r="B23" s="127">
        <v>0</v>
      </c>
      <c r="C23" s="27" t="s">
        <v>299</v>
      </c>
      <c r="D23" s="8">
        <f t="shared" ref="D23:D26" si="0">B23</f>
        <v>0</v>
      </c>
      <c r="E23" s="17" t="s">
        <v>431</v>
      </c>
    </row>
    <row r="24" spans="1:45" x14ac:dyDescent="0.35">
      <c r="A24" s="24" t="s">
        <v>107</v>
      </c>
      <c r="B24" s="127">
        <v>0</v>
      </c>
      <c r="C24" s="27" t="s">
        <v>299</v>
      </c>
      <c r="D24" s="8">
        <f t="shared" si="0"/>
        <v>0</v>
      </c>
      <c r="E24" s="17" t="s">
        <v>432</v>
      </c>
    </row>
    <row r="25" spans="1:45" x14ac:dyDescent="0.35">
      <c r="A25" s="24" t="s">
        <v>108</v>
      </c>
      <c r="B25" s="127">
        <v>0</v>
      </c>
      <c r="C25" s="27" t="s">
        <v>299</v>
      </c>
      <c r="D25" s="8">
        <f t="shared" si="0"/>
        <v>0</v>
      </c>
      <c r="E25" s="17" t="s">
        <v>366</v>
      </c>
    </row>
    <row r="26" spans="1:45" x14ac:dyDescent="0.35">
      <c r="A26" s="24" t="s">
        <v>109</v>
      </c>
      <c r="B26" s="127">
        <v>0</v>
      </c>
      <c r="C26" s="27" t="s">
        <v>299</v>
      </c>
      <c r="D26" s="8">
        <f t="shared" si="0"/>
        <v>0</v>
      </c>
      <c r="E26" s="17" t="s">
        <v>431</v>
      </c>
    </row>
    <row r="27" spans="1:45" x14ac:dyDescent="0.35">
      <c r="A27" s="20" t="s">
        <v>369</v>
      </c>
      <c r="B27" s="127">
        <v>0</v>
      </c>
      <c r="C27" s="8" t="s">
        <v>89</v>
      </c>
      <c r="D27" s="8">
        <f>ROUNDUP(B27/B3,0)</f>
        <v>0</v>
      </c>
      <c r="E27" s="17" t="s">
        <v>370</v>
      </c>
    </row>
    <row r="28" spans="1:45" ht="16.5" customHeight="1" x14ac:dyDescent="0.35">
      <c r="A28" s="20" t="s">
        <v>146</v>
      </c>
      <c r="B28" s="127">
        <v>0</v>
      </c>
      <c r="C28" s="8" t="s">
        <v>89</v>
      </c>
      <c r="D28" s="8">
        <f>ROUNDUP(B28/B3,0)</f>
        <v>0</v>
      </c>
      <c r="E28" s="17" t="s">
        <v>372</v>
      </c>
    </row>
    <row r="29" spans="1:45" x14ac:dyDescent="0.35">
      <c r="A29" s="20" t="s">
        <v>151</v>
      </c>
      <c r="B29" s="127">
        <v>0</v>
      </c>
      <c r="C29" s="8" t="s">
        <v>89</v>
      </c>
      <c r="D29" s="8">
        <f>ROUNDUP(B29/B3,0)</f>
        <v>0</v>
      </c>
      <c r="E29" s="17" t="s">
        <v>407</v>
      </c>
    </row>
    <row r="30" spans="1:45" ht="58" x14ac:dyDescent="0.35">
      <c r="A30" s="20" t="s">
        <v>193</v>
      </c>
      <c r="B30" s="127">
        <v>0</v>
      </c>
      <c r="C30" s="8" t="s">
        <v>89</v>
      </c>
      <c r="D30" s="8">
        <f>ROUNDUP(B30/B3,0)</f>
        <v>0</v>
      </c>
      <c r="E30" s="17" t="s">
        <v>419</v>
      </c>
    </row>
    <row r="31" spans="1:45" x14ac:dyDescent="0.35">
      <c r="A31" s="20" t="s">
        <v>208</v>
      </c>
      <c r="B31" s="127">
        <v>0</v>
      </c>
      <c r="C31" s="8" t="s">
        <v>89</v>
      </c>
      <c r="D31" s="8">
        <f>ROUNDUP(B31/B3,0)</f>
        <v>0</v>
      </c>
      <c r="E31" s="17" t="s">
        <v>407</v>
      </c>
    </row>
    <row r="32" spans="1:45" ht="29" x14ac:dyDescent="0.35">
      <c r="A32" s="20" t="s">
        <v>210</v>
      </c>
      <c r="B32" s="127">
        <v>0</v>
      </c>
      <c r="C32" s="8" t="s">
        <v>299</v>
      </c>
      <c r="D32" s="8">
        <f>B32</f>
        <v>0</v>
      </c>
      <c r="E32" s="17" t="s">
        <v>899</v>
      </c>
    </row>
    <row r="33" spans="1:5" ht="29" x14ac:dyDescent="0.35">
      <c r="A33" s="8" t="s">
        <v>209</v>
      </c>
      <c r="B33" s="127">
        <v>0</v>
      </c>
      <c r="C33" s="8" t="s">
        <v>299</v>
      </c>
      <c r="D33" s="8">
        <f>B33</f>
        <v>0</v>
      </c>
      <c r="E33" s="17" t="s">
        <v>900</v>
      </c>
    </row>
    <row r="34" spans="1:5" x14ac:dyDescent="0.35">
      <c r="A34" s="8" t="s">
        <v>238</v>
      </c>
      <c r="B34" s="127">
        <v>0</v>
      </c>
      <c r="C34" s="8" t="s">
        <v>406</v>
      </c>
      <c r="D34" s="8">
        <f>B34</f>
        <v>0</v>
      </c>
      <c r="E34" s="17" t="s">
        <v>393</v>
      </c>
    </row>
    <row r="35" spans="1:5" x14ac:dyDescent="0.35">
      <c r="A35" s="8" t="s">
        <v>241</v>
      </c>
      <c r="B35" s="127">
        <v>0</v>
      </c>
      <c r="C35" s="8" t="s">
        <v>406</v>
      </c>
      <c r="D35" s="8">
        <f t="shared" ref="D35:D36" si="1">B35</f>
        <v>0</v>
      </c>
      <c r="E35" s="17" t="s">
        <v>393</v>
      </c>
    </row>
    <row r="36" spans="1:5" x14ac:dyDescent="0.35">
      <c r="A36" s="8" t="s">
        <v>242</v>
      </c>
      <c r="B36" s="127">
        <v>0</v>
      </c>
      <c r="C36" s="8" t="s">
        <v>406</v>
      </c>
      <c r="D36" s="8">
        <f t="shared" si="1"/>
        <v>0</v>
      </c>
      <c r="E36" s="17" t="s">
        <v>394</v>
      </c>
    </row>
    <row r="37" spans="1:5" x14ac:dyDescent="0.35">
      <c r="A37" s="8" t="s">
        <v>250</v>
      </c>
      <c r="B37" s="127">
        <v>0</v>
      </c>
      <c r="C37" s="8" t="s">
        <v>416</v>
      </c>
      <c r="D37" s="8">
        <f>B37</f>
        <v>0</v>
      </c>
      <c r="E37" s="8" t="s">
        <v>416</v>
      </c>
    </row>
    <row r="38" spans="1:5" x14ac:dyDescent="0.35">
      <c r="A38" s="8" t="s">
        <v>474</v>
      </c>
      <c r="B38" s="127">
        <v>0</v>
      </c>
      <c r="C38" s="8" t="s">
        <v>89</v>
      </c>
      <c r="D38" s="8">
        <f>ROUNDUP(B38/B3,0)</f>
        <v>0</v>
      </c>
      <c r="E38" s="18" t="s">
        <v>476</v>
      </c>
    </row>
    <row r="39" spans="1:5" x14ac:dyDescent="0.35">
      <c r="A39" s="8" t="s">
        <v>475</v>
      </c>
      <c r="B39" s="127">
        <v>0</v>
      </c>
      <c r="C39" s="8" t="s">
        <v>89</v>
      </c>
      <c r="D39" s="8">
        <f>ROUNDUP(B39/B3,0)</f>
        <v>0</v>
      </c>
      <c r="E39" s="18" t="s">
        <v>476</v>
      </c>
    </row>
    <row r="40" spans="1:5" x14ac:dyDescent="0.35">
      <c r="A40" s="8" t="s">
        <v>482</v>
      </c>
      <c r="B40" s="127">
        <v>0</v>
      </c>
      <c r="C40" s="8" t="s">
        <v>89</v>
      </c>
      <c r="D40" s="8">
        <f>ROUNDUP(B40/B3,0)</f>
        <v>0</v>
      </c>
      <c r="E40" s="18" t="s">
        <v>476</v>
      </c>
    </row>
    <row r="41" spans="1:5" x14ac:dyDescent="0.35">
      <c r="A41" s="8" t="s">
        <v>422</v>
      </c>
      <c r="B41" s="127">
        <v>0</v>
      </c>
      <c r="C41" s="8" t="s">
        <v>299</v>
      </c>
      <c r="D41" s="8">
        <f>B41</f>
        <v>0</v>
      </c>
      <c r="E41" s="32" t="s">
        <v>303</v>
      </c>
    </row>
    <row r="42" spans="1:5" x14ac:dyDescent="0.35">
      <c r="A42" s="8" t="s">
        <v>423</v>
      </c>
      <c r="B42" s="127">
        <v>0</v>
      </c>
      <c r="C42" s="8" t="s">
        <v>89</v>
      </c>
      <c r="D42" s="8">
        <f>ROUNDUP(B42/B3,0)</f>
        <v>0</v>
      </c>
      <c r="E42" s="32" t="s">
        <v>303</v>
      </c>
    </row>
    <row r="43" spans="1:5" x14ac:dyDescent="0.35">
      <c r="A43" s="20" t="s">
        <v>150</v>
      </c>
      <c r="B43" s="127">
        <v>0</v>
      </c>
      <c r="C43" s="8" t="s">
        <v>89</v>
      </c>
      <c r="D43" s="8">
        <f>ROUNDUP(B43/B3,0)</f>
        <v>0</v>
      </c>
      <c r="E43" s="32" t="s">
        <v>303</v>
      </c>
    </row>
    <row r="44" spans="1:5" ht="17.149999999999999" customHeight="1" x14ac:dyDescent="0.35">
      <c r="A44" s="25" t="s">
        <v>98</v>
      </c>
      <c r="B44" s="127">
        <v>0</v>
      </c>
      <c r="C44" s="29" t="s">
        <v>89</v>
      </c>
      <c r="D44" s="8">
        <f>ROUNDUP(B44/B3,0)</f>
        <v>0</v>
      </c>
      <c r="E44" s="32" t="s">
        <v>303</v>
      </c>
    </row>
    <row r="45" spans="1:5" ht="17.149999999999999" customHeight="1" x14ac:dyDescent="0.35">
      <c r="A45" s="25" t="s">
        <v>100</v>
      </c>
      <c r="B45" s="127">
        <v>0</v>
      </c>
      <c r="C45" s="27" t="s">
        <v>89</v>
      </c>
      <c r="D45" s="8">
        <f>ROUNDUP(B45/B3,0)</f>
        <v>0</v>
      </c>
      <c r="E45" s="32" t="s">
        <v>303</v>
      </c>
    </row>
    <row r="46" spans="1:5" x14ac:dyDescent="0.35">
      <c r="A46" s="25" t="s">
        <v>252</v>
      </c>
      <c r="B46" s="127">
        <v>0</v>
      </c>
      <c r="C46" s="27" t="s">
        <v>89</v>
      </c>
      <c r="D46" s="8">
        <f>ROUNDDOWN(B46/B3,0)</f>
        <v>0</v>
      </c>
      <c r="E46" s="32" t="s">
        <v>303</v>
      </c>
    </row>
    <row r="47" spans="1:5" x14ac:dyDescent="0.35">
      <c r="A47" s="25" t="s">
        <v>254</v>
      </c>
      <c r="B47" s="127">
        <v>0</v>
      </c>
      <c r="C47" s="27" t="s">
        <v>89</v>
      </c>
      <c r="D47" s="8">
        <f>ROUNDUP(B47/B3,0)</f>
        <v>0</v>
      </c>
      <c r="E47" s="32" t="s">
        <v>303</v>
      </c>
    </row>
    <row r="48" spans="1:5" x14ac:dyDescent="0.35">
      <c r="A48" s="25" t="s">
        <v>255</v>
      </c>
      <c r="B48" s="127">
        <v>0</v>
      </c>
      <c r="C48" s="27" t="s">
        <v>89</v>
      </c>
      <c r="D48" s="8">
        <f>ROUNDUP(B48/B3,0)</f>
        <v>0</v>
      </c>
      <c r="E48" s="32" t="s">
        <v>303</v>
      </c>
    </row>
    <row r="49" spans="1:5" x14ac:dyDescent="0.35">
      <c r="A49" s="25" t="s">
        <v>90</v>
      </c>
      <c r="B49" s="127">
        <v>0</v>
      </c>
      <c r="C49" s="27" t="s">
        <v>89</v>
      </c>
      <c r="D49" s="8">
        <f>ROUNDUP(B49/B3,0)</f>
        <v>0</v>
      </c>
      <c r="E49" s="32" t="s">
        <v>303</v>
      </c>
    </row>
    <row r="50" spans="1:5" x14ac:dyDescent="0.35">
      <c r="A50" s="25" t="s">
        <v>310</v>
      </c>
      <c r="B50" s="127">
        <v>0</v>
      </c>
      <c r="C50" s="27" t="s">
        <v>89</v>
      </c>
      <c r="D50" s="8">
        <f>ROUNDUP(B50/B3,0)</f>
        <v>0</v>
      </c>
      <c r="E50" s="32" t="s">
        <v>303</v>
      </c>
    </row>
    <row r="51" spans="1:5" ht="29" x14ac:dyDescent="0.35">
      <c r="A51" s="26" t="s">
        <v>97</v>
      </c>
      <c r="B51" s="127">
        <v>0</v>
      </c>
      <c r="C51" s="26" t="s">
        <v>89</v>
      </c>
      <c r="D51" s="8">
        <f>ROUNDUP(B51/B3,0)</f>
        <v>0</v>
      </c>
      <c r="E51" s="32" t="s">
        <v>412</v>
      </c>
    </row>
    <row r="52" spans="1:5" x14ac:dyDescent="0.35">
      <c r="A52" s="24" t="s">
        <v>348</v>
      </c>
      <c r="B52" s="127">
        <v>0</v>
      </c>
      <c r="C52" s="27" t="s">
        <v>299</v>
      </c>
      <c r="D52" s="8">
        <f>B52</f>
        <v>0</v>
      </c>
      <c r="E52" s="32" t="s">
        <v>303</v>
      </c>
    </row>
    <row r="53" spans="1:5" x14ac:dyDescent="0.35">
      <c r="A53" s="24" t="s">
        <v>102</v>
      </c>
      <c r="B53" s="127">
        <v>0</v>
      </c>
      <c r="C53" s="27" t="s">
        <v>89</v>
      </c>
      <c r="D53" s="8">
        <f>ROUNDUP(B53/B3,0)</f>
        <v>0</v>
      </c>
      <c r="E53" s="32" t="s">
        <v>303</v>
      </c>
    </row>
    <row r="54" spans="1:5" x14ac:dyDescent="0.35">
      <c r="A54" s="25" t="s">
        <v>103</v>
      </c>
      <c r="B54" s="127">
        <v>0</v>
      </c>
      <c r="C54" s="27" t="s">
        <v>89</v>
      </c>
      <c r="D54" s="8">
        <f>ROUNDUP(B54/B3,0)</f>
        <v>0</v>
      </c>
      <c r="E54" s="32" t="s">
        <v>303</v>
      </c>
    </row>
    <row r="55" spans="1:5" x14ac:dyDescent="0.35">
      <c r="A55" s="25" t="s">
        <v>297</v>
      </c>
      <c r="B55" s="127">
        <v>0</v>
      </c>
      <c r="C55" s="27" t="s">
        <v>89</v>
      </c>
      <c r="D55" s="8">
        <f>ROUNDUP(B55/B3,0)</f>
        <v>0</v>
      </c>
      <c r="E55" s="32" t="s">
        <v>303</v>
      </c>
    </row>
    <row r="56" spans="1:5" x14ac:dyDescent="0.35">
      <c r="A56" s="20" t="s">
        <v>170</v>
      </c>
      <c r="B56" s="127">
        <v>0</v>
      </c>
      <c r="C56" s="8" t="s">
        <v>89</v>
      </c>
      <c r="D56" s="8">
        <f>ROUNDUP(B56/B3,0)</f>
        <v>0</v>
      </c>
      <c r="E56" s="32" t="s">
        <v>303</v>
      </c>
    </row>
    <row r="57" spans="1:5" x14ac:dyDescent="0.35">
      <c r="A57" s="20" t="s">
        <v>171</v>
      </c>
      <c r="B57" s="127">
        <v>0</v>
      </c>
      <c r="C57" s="8" t="s">
        <v>89</v>
      </c>
      <c r="D57" s="8">
        <f>ROUNDUP(B57/B3,0)</f>
        <v>0</v>
      </c>
      <c r="E57" s="32" t="s">
        <v>303</v>
      </c>
    </row>
    <row r="58" spans="1:5" x14ac:dyDescent="0.35">
      <c r="A58" s="8" t="s">
        <v>212</v>
      </c>
      <c r="B58" s="127">
        <v>0</v>
      </c>
      <c r="C58" s="8" t="s">
        <v>299</v>
      </c>
      <c r="D58" s="8">
        <f>B58</f>
        <v>0</v>
      </c>
      <c r="E58" s="32" t="s">
        <v>303</v>
      </c>
    </row>
    <row r="59" spans="1:5" x14ac:dyDescent="0.35">
      <c r="A59" s="8" t="s">
        <v>176</v>
      </c>
      <c r="B59" s="127">
        <v>0</v>
      </c>
      <c r="C59" s="8" t="s">
        <v>299</v>
      </c>
      <c r="D59" s="8">
        <f>B59</f>
        <v>0</v>
      </c>
      <c r="E59" s="32" t="s">
        <v>303</v>
      </c>
    </row>
    <row r="60" spans="1:5" x14ac:dyDescent="0.35">
      <c r="A60" s="20" t="s">
        <v>411</v>
      </c>
      <c r="B60" s="127">
        <v>0</v>
      </c>
      <c r="C60" s="8" t="s">
        <v>89</v>
      </c>
      <c r="D60" s="8">
        <f>ROUNDUP(B60/B3,0)</f>
        <v>0</v>
      </c>
      <c r="E60" s="32" t="s">
        <v>303</v>
      </c>
    </row>
    <row r="61" spans="1:5" x14ac:dyDescent="0.35">
      <c r="A61" s="8" t="s">
        <v>183</v>
      </c>
      <c r="B61" s="127">
        <v>0</v>
      </c>
      <c r="C61" s="8" t="s">
        <v>299</v>
      </c>
      <c r="D61" s="8">
        <f>B61</f>
        <v>0</v>
      </c>
      <c r="E61" s="32" t="s">
        <v>303</v>
      </c>
    </row>
    <row r="62" spans="1:5" x14ac:dyDescent="0.35">
      <c r="A62" s="20" t="s">
        <v>186</v>
      </c>
      <c r="B62" s="127">
        <v>0</v>
      </c>
      <c r="C62" s="20" t="s">
        <v>89</v>
      </c>
      <c r="D62" s="8">
        <f>ROUNDUP(B62/B3,0)</f>
        <v>0</v>
      </c>
      <c r="E62" s="32" t="s">
        <v>303</v>
      </c>
    </row>
    <row r="63" spans="1:5" x14ac:dyDescent="0.35">
      <c r="A63" s="20" t="s">
        <v>190</v>
      </c>
      <c r="B63" s="127">
        <v>0</v>
      </c>
      <c r="C63" s="20" t="s">
        <v>89</v>
      </c>
      <c r="D63" s="8">
        <f>ROUNDUP(B63/B3,0)</f>
        <v>0</v>
      </c>
      <c r="E63" s="32" t="s">
        <v>303</v>
      </c>
    </row>
    <row r="64" spans="1:5" ht="29" x14ac:dyDescent="0.35">
      <c r="A64" s="20" t="s">
        <v>380</v>
      </c>
      <c r="B64" s="127">
        <v>0</v>
      </c>
      <c r="C64" s="8" t="s">
        <v>89</v>
      </c>
      <c r="D64" s="8">
        <f>ROUNDUP(B64/B3,0)</f>
        <v>0</v>
      </c>
      <c r="E64" s="32" t="s">
        <v>382</v>
      </c>
    </row>
    <row r="65" spans="1:5" x14ac:dyDescent="0.35">
      <c r="A65" s="20" t="s">
        <v>383</v>
      </c>
      <c r="B65" s="127">
        <v>0</v>
      </c>
      <c r="C65" s="8" t="s">
        <v>89</v>
      </c>
      <c r="D65" s="8">
        <f>ROUNDUP(B65/B3,0)</f>
        <v>0</v>
      </c>
      <c r="E65" s="32" t="s">
        <v>303</v>
      </c>
    </row>
    <row r="66" spans="1:5" x14ac:dyDescent="0.35">
      <c r="A66" s="8" t="s">
        <v>249</v>
      </c>
      <c r="B66" s="127">
        <v>0</v>
      </c>
      <c r="C66" s="8" t="s">
        <v>89</v>
      </c>
      <c r="D66" s="8">
        <f>ROUNDUP(B66/B3,0)</f>
        <v>0</v>
      </c>
      <c r="E66" s="32" t="s">
        <v>303</v>
      </c>
    </row>
    <row r="67" spans="1:5" ht="29" x14ac:dyDescent="0.35">
      <c r="A67" s="8" t="s">
        <v>233</v>
      </c>
      <c r="B67" s="127">
        <v>0</v>
      </c>
      <c r="C67" s="8" t="s">
        <v>406</v>
      </c>
      <c r="D67" s="8">
        <f>B67</f>
        <v>0</v>
      </c>
      <c r="E67" s="32" t="s">
        <v>395</v>
      </c>
    </row>
    <row r="68" spans="1:5" x14ac:dyDescent="0.35">
      <c r="A68" s="8" t="s">
        <v>631</v>
      </c>
      <c r="B68" s="127">
        <v>0</v>
      </c>
      <c r="C68" s="8" t="s">
        <v>299</v>
      </c>
      <c r="D68" s="8">
        <f>B68</f>
        <v>0</v>
      </c>
      <c r="E68" s="31" t="s">
        <v>305</v>
      </c>
    </row>
    <row r="69" spans="1:5" x14ac:dyDescent="0.35">
      <c r="A69" s="8" t="s">
        <v>424</v>
      </c>
      <c r="B69" s="127">
        <v>0</v>
      </c>
      <c r="C69" s="8" t="s">
        <v>299</v>
      </c>
      <c r="D69" s="8">
        <f>B69</f>
        <v>0</v>
      </c>
      <c r="E69" s="31" t="s">
        <v>305</v>
      </c>
    </row>
    <row r="70" spans="1:5" x14ac:dyDescent="0.35">
      <c r="A70" s="8" t="s">
        <v>425</v>
      </c>
      <c r="B70" s="127">
        <v>0</v>
      </c>
      <c r="C70" s="8" t="s">
        <v>299</v>
      </c>
      <c r="D70" s="8">
        <f>B70</f>
        <v>0</v>
      </c>
      <c r="E70" s="31" t="s">
        <v>305</v>
      </c>
    </row>
    <row r="71" spans="1:5" x14ac:dyDescent="0.35">
      <c r="A71" s="20" t="s">
        <v>243</v>
      </c>
      <c r="B71" s="127">
        <v>0</v>
      </c>
      <c r="C71" s="8" t="s">
        <v>406</v>
      </c>
      <c r="D71" s="8">
        <f>B71</f>
        <v>0</v>
      </c>
      <c r="E71" s="31" t="s">
        <v>305</v>
      </c>
    </row>
    <row r="72" spans="1:5" x14ac:dyDescent="0.35">
      <c r="A72" s="25" t="s">
        <v>378</v>
      </c>
      <c r="B72" s="127">
        <v>0</v>
      </c>
      <c r="C72" s="27" t="s">
        <v>89</v>
      </c>
      <c r="D72" s="8">
        <f>ROUNDUP(B72/B3,0)</f>
        <v>0</v>
      </c>
      <c r="E72" s="31" t="s">
        <v>305</v>
      </c>
    </row>
    <row r="73" spans="1:5" ht="29" x14ac:dyDescent="0.35">
      <c r="A73" s="25" t="s">
        <v>309</v>
      </c>
      <c r="B73" s="127">
        <v>8</v>
      </c>
      <c r="C73" s="27" t="s">
        <v>299</v>
      </c>
      <c r="D73" s="8">
        <f>B73</f>
        <v>8</v>
      </c>
      <c r="E73" s="31" t="s">
        <v>429</v>
      </c>
    </row>
    <row r="74" spans="1:5" ht="29" x14ac:dyDescent="0.35">
      <c r="A74" s="25" t="s">
        <v>311</v>
      </c>
      <c r="B74" s="127">
        <v>0</v>
      </c>
      <c r="C74" s="27" t="s">
        <v>89</v>
      </c>
      <c r="D74" s="8">
        <f>ROUNDUP(B74/B3,0)</f>
        <v>0</v>
      </c>
      <c r="E74" s="31" t="s">
        <v>389</v>
      </c>
    </row>
    <row r="75" spans="1:5" x14ac:dyDescent="0.35">
      <c r="A75" s="25" t="s">
        <v>307</v>
      </c>
      <c r="B75" s="127">
        <v>0</v>
      </c>
      <c r="C75" s="27" t="s">
        <v>89</v>
      </c>
      <c r="D75" s="8">
        <f>ROUNDUP(B75/B3,0)</f>
        <v>0</v>
      </c>
      <c r="E75" s="31" t="s">
        <v>305</v>
      </c>
    </row>
    <row r="76" spans="1:5" x14ac:dyDescent="0.35">
      <c r="A76" s="24" t="s">
        <v>308</v>
      </c>
      <c r="B76" s="127">
        <v>0</v>
      </c>
      <c r="C76" s="27" t="s">
        <v>299</v>
      </c>
      <c r="D76" s="8">
        <f>B76</f>
        <v>0</v>
      </c>
      <c r="E76" s="31" t="s">
        <v>305</v>
      </c>
    </row>
    <row r="77" spans="1:5" x14ac:dyDescent="0.35">
      <c r="A77" s="20" t="s">
        <v>379</v>
      </c>
      <c r="B77" s="127">
        <v>0</v>
      </c>
      <c r="C77" s="8" t="s">
        <v>299</v>
      </c>
      <c r="D77" s="8">
        <f>B77</f>
        <v>0</v>
      </c>
      <c r="E77" s="31" t="s">
        <v>305</v>
      </c>
    </row>
    <row r="78" spans="1:5" x14ac:dyDescent="0.35">
      <c r="A78" s="20" t="s">
        <v>384</v>
      </c>
      <c r="B78" s="127">
        <v>0</v>
      </c>
      <c r="C78" s="8" t="s">
        <v>299</v>
      </c>
      <c r="D78" s="8">
        <f>B78</f>
        <v>0</v>
      </c>
      <c r="E78" s="31" t="s">
        <v>305</v>
      </c>
    </row>
    <row r="79" spans="1:5" x14ac:dyDescent="0.35">
      <c r="A79" s="20" t="s">
        <v>319</v>
      </c>
      <c r="B79" s="127">
        <v>0</v>
      </c>
      <c r="C79" s="8" t="s">
        <v>89</v>
      </c>
      <c r="D79" s="8">
        <f>ROUNDUP(B79/B3,0)</f>
        <v>0</v>
      </c>
      <c r="E79" s="31" t="s">
        <v>305</v>
      </c>
    </row>
    <row r="80" spans="1:5" x14ac:dyDescent="0.35">
      <c r="A80" s="20" t="s">
        <v>316</v>
      </c>
      <c r="B80" s="127">
        <v>0</v>
      </c>
      <c r="C80" s="8" t="s">
        <v>89</v>
      </c>
      <c r="D80" s="8">
        <f>ROUNDUP(B80/B3,0)</f>
        <v>0</v>
      </c>
      <c r="E80" s="31" t="s">
        <v>305</v>
      </c>
    </row>
    <row r="81" spans="1:5" x14ac:dyDescent="0.35">
      <c r="A81" s="20" t="s">
        <v>317</v>
      </c>
      <c r="B81" s="127">
        <v>0</v>
      </c>
      <c r="C81" s="8" t="s">
        <v>89</v>
      </c>
      <c r="D81" s="8">
        <f>ROUNDUP(B81/B3,0)</f>
        <v>0</v>
      </c>
      <c r="E81" s="31" t="s">
        <v>305</v>
      </c>
    </row>
    <row r="82" spans="1:5" x14ac:dyDescent="0.35">
      <c r="A82" s="8" t="s">
        <v>318</v>
      </c>
      <c r="B82" s="127">
        <v>0</v>
      </c>
      <c r="C82" s="8" t="s">
        <v>299</v>
      </c>
      <c r="D82" s="8">
        <f t="shared" ref="D82:D91" si="2">B82</f>
        <v>0</v>
      </c>
      <c r="E82" s="31" t="s">
        <v>305</v>
      </c>
    </row>
    <row r="83" spans="1:5" x14ac:dyDescent="0.35">
      <c r="A83" s="8" t="s">
        <v>304</v>
      </c>
      <c r="B83" s="127">
        <v>0</v>
      </c>
      <c r="C83" s="8" t="s">
        <v>299</v>
      </c>
      <c r="D83" s="8">
        <f t="shared" si="2"/>
        <v>0</v>
      </c>
      <c r="E83" s="31" t="s">
        <v>305</v>
      </c>
    </row>
    <row r="84" spans="1:5" ht="27" customHeight="1" x14ac:dyDescent="0.35">
      <c r="A84" s="8" t="s">
        <v>326</v>
      </c>
      <c r="B84" s="127">
        <v>0</v>
      </c>
      <c r="C84" s="8" t="s">
        <v>299</v>
      </c>
      <c r="D84" s="8">
        <f t="shared" si="2"/>
        <v>0</v>
      </c>
      <c r="E84" s="31" t="s">
        <v>392</v>
      </c>
    </row>
    <row r="85" spans="1:5" x14ac:dyDescent="0.35">
      <c r="A85" s="8" t="s">
        <v>327</v>
      </c>
      <c r="B85" s="127">
        <v>0</v>
      </c>
      <c r="C85" s="8" t="s">
        <v>299</v>
      </c>
      <c r="D85" s="8">
        <f t="shared" si="2"/>
        <v>0</v>
      </c>
      <c r="E85" s="31" t="s">
        <v>305</v>
      </c>
    </row>
    <row r="86" spans="1:5" ht="28" customHeight="1" x14ac:dyDescent="0.35">
      <c r="A86" s="8" t="s">
        <v>328</v>
      </c>
      <c r="B86" s="127">
        <v>0</v>
      </c>
      <c r="C86" s="8" t="s">
        <v>299</v>
      </c>
      <c r="D86" s="8">
        <f t="shared" si="2"/>
        <v>0</v>
      </c>
      <c r="E86" s="31" t="s">
        <v>373</v>
      </c>
    </row>
    <row r="87" spans="1:5" ht="46.5" customHeight="1" x14ac:dyDescent="0.35">
      <c r="A87" s="8" t="s">
        <v>333</v>
      </c>
      <c r="B87" s="127">
        <v>0</v>
      </c>
      <c r="C87" s="8" t="s">
        <v>299</v>
      </c>
      <c r="D87" s="8">
        <f t="shared" si="2"/>
        <v>0</v>
      </c>
      <c r="E87" s="31" t="s">
        <v>459</v>
      </c>
    </row>
    <row r="88" spans="1:5" ht="43.5" customHeight="1" x14ac:dyDescent="0.35">
      <c r="A88" s="8" t="s">
        <v>334</v>
      </c>
      <c r="B88" s="127">
        <v>0</v>
      </c>
      <c r="C88" s="8" t="s">
        <v>299</v>
      </c>
      <c r="D88" s="8">
        <f t="shared" si="2"/>
        <v>0</v>
      </c>
      <c r="E88" s="31" t="s">
        <v>460</v>
      </c>
    </row>
    <row r="89" spans="1:5" ht="60.65" customHeight="1" x14ac:dyDescent="0.35">
      <c r="A89" s="8" t="s">
        <v>335</v>
      </c>
      <c r="B89" s="127">
        <v>0</v>
      </c>
      <c r="C89" s="8" t="s">
        <v>299</v>
      </c>
      <c r="D89" s="8">
        <f t="shared" si="2"/>
        <v>0</v>
      </c>
      <c r="E89" s="31" t="s">
        <v>461</v>
      </c>
    </row>
    <row r="90" spans="1:5" ht="58.5" customHeight="1" x14ac:dyDescent="0.35">
      <c r="A90" s="8" t="s">
        <v>336</v>
      </c>
      <c r="B90" s="127">
        <v>0</v>
      </c>
      <c r="C90" s="8" t="s">
        <v>299</v>
      </c>
      <c r="D90" s="8">
        <f t="shared" si="2"/>
        <v>0</v>
      </c>
      <c r="E90" s="31" t="s">
        <v>461</v>
      </c>
    </row>
    <row r="91" spans="1:5" x14ac:dyDescent="0.35">
      <c r="A91" s="8" t="s">
        <v>342</v>
      </c>
      <c r="B91" s="127">
        <v>0</v>
      </c>
      <c r="C91" s="8" t="s">
        <v>299</v>
      </c>
      <c r="D91" s="8">
        <f t="shared" si="2"/>
        <v>0</v>
      </c>
      <c r="E91" s="31" t="s">
        <v>305</v>
      </c>
    </row>
    <row r="92" spans="1:5" x14ac:dyDescent="0.35">
      <c r="A92" s="20" t="s">
        <v>343</v>
      </c>
      <c r="B92" s="127">
        <v>0</v>
      </c>
      <c r="C92" s="8" t="s">
        <v>89</v>
      </c>
      <c r="D92" s="8">
        <f>ROUNDUP(B92/B3,0)</f>
        <v>0</v>
      </c>
      <c r="E92" s="31" t="s">
        <v>305</v>
      </c>
    </row>
    <row r="93" spans="1:5" x14ac:dyDescent="0.35">
      <c r="A93" s="20" t="s">
        <v>344</v>
      </c>
      <c r="B93" s="127">
        <v>0</v>
      </c>
      <c r="C93" s="20" t="s">
        <v>299</v>
      </c>
      <c r="D93" s="8">
        <f t="shared" ref="D93:D102" si="3">B93</f>
        <v>0</v>
      </c>
      <c r="E93" s="31" t="s">
        <v>305</v>
      </c>
    </row>
    <row r="94" spans="1:5" x14ac:dyDescent="0.35">
      <c r="A94" s="8" t="s">
        <v>345</v>
      </c>
      <c r="B94" s="127">
        <v>0</v>
      </c>
      <c r="C94" s="8" t="s">
        <v>299</v>
      </c>
      <c r="D94" s="8">
        <f t="shared" si="3"/>
        <v>0</v>
      </c>
      <c r="E94" s="31" t="s">
        <v>305</v>
      </c>
    </row>
    <row r="95" spans="1:5" ht="43.5" x14ac:dyDescent="0.35">
      <c r="A95" s="8" t="s">
        <v>346</v>
      </c>
      <c r="B95" s="127">
        <v>0</v>
      </c>
      <c r="C95" s="8" t="s">
        <v>299</v>
      </c>
      <c r="D95" s="8">
        <f t="shared" si="3"/>
        <v>0</v>
      </c>
      <c r="E95" s="31" t="s">
        <v>462</v>
      </c>
    </row>
    <row r="96" spans="1:5" x14ac:dyDescent="0.35">
      <c r="A96" s="20" t="s">
        <v>347</v>
      </c>
      <c r="B96" s="127">
        <v>0</v>
      </c>
      <c r="C96" s="20" t="s">
        <v>299</v>
      </c>
      <c r="D96" s="8">
        <f t="shared" si="3"/>
        <v>0</v>
      </c>
      <c r="E96" s="31" t="s">
        <v>305</v>
      </c>
    </row>
    <row r="97" spans="1:5" ht="29" x14ac:dyDescent="0.35">
      <c r="A97" s="8" t="s">
        <v>322</v>
      </c>
      <c r="B97" s="127">
        <v>0</v>
      </c>
      <c r="C97" s="8" t="s">
        <v>406</v>
      </c>
      <c r="D97" s="8">
        <f>B97</f>
        <v>0</v>
      </c>
      <c r="E97" s="31" t="s">
        <v>396</v>
      </c>
    </row>
    <row r="98" spans="1:5" x14ac:dyDescent="0.35">
      <c r="A98" s="25" t="s">
        <v>301</v>
      </c>
      <c r="B98" s="127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29" x14ac:dyDescent="0.35">
      <c r="A99" s="20" t="s">
        <v>354</v>
      </c>
      <c r="B99" s="127">
        <v>0</v>
      </c>
      <c r="C99" s="20" t="s">
        <v>299</v>
      </c>
      <c r="D99" s="8">
        <f t="shared" si="3"/>
        <v>0</v>
      </c>
      <c r="E99" s="33" t="s">
        <v>464</v>
      </c>
    </row>
    <row r="100" spans="1:5" x14ac:dyDescent="0.35">
      <c r="A100" s="20" t="s">
        <v>398</v>
      </c>
      <c r="B100" s="127">
        <v>0</v>
      </c>
      <c r="C100" s="20" t="s">
        <v>299</v>
      </c>
      <c r="D100" s="8">
        <f t="shared" si="3"/>
        <v>0</v>
      </c>
      <c r="E100" s="33" t="s">
        <v>376</v>
      </c>
    </row>
    <row r="101" spans="1:5" x14ac:dyDescent="0.35">
      <c r="A101" s="20" t="s">
        <v>399</v>
      </c>
      <c r="B101" s="127">
        <v>0</v>
      </c>
      <c r="C101" s="20" t="s">
        <v>299</v>
      </c>
      <c r="D101" s="8">
        <f t="shared" si="3"/>
        <v>0</v>
      </c>
      <c r="E101" s="33" t="s">
        <v>376</v>
      </c>
    </row>
    <row r="102" spans="1:5" x14ac:dyDescent="0.35">
      <c r="A102" s="20" t="s">
        <v>400</v>
      </c>
      <c r="B102" s="127">
        <v>0</v>
      </c>
      <c r="C102" s="20" t="s">
        <v>299</v>
      </c>
      <c r="D102" s="8">
        <f t="shared" si="3"/>
        <v>0</v>
      </c>
      <c r="E102" s="34" t="s">
        <v>376</v>
      </c>
    </row>
    <row r="103" spans="1:5" ht="29" x14ac:dyDescent="0.35">
      <c r="A103" s="62" t="s">
        <v>401</v>
      </c>
      <c r="B103" s="21"/>
      <c r="C103" s="21"/>
      <c r="D103" s="21"/>
      <c r="E103" s="38"/>
    </row>
    <row r="104" spans="1:5" x14ac:dyDescent="0.35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29" x14ac:dyDescent="0.35">
      <c r="A105" s="39" t="s">
        <v>397</v>
      </c>
      <c r="B105" s="129">
        <v>0</v>
      </c>
      <c r="C105" s="27" t="s">
        <v>299</v>
      </c>
      <c r="D105" s="8">
        <f t="shared" ref="D105:D111" si="4">B105</f>
        <v>0</v>
      </c>
      <c r="E105" s="31" t="s">
        <v>889</v>
      </c>
    </row>
    <row r="106" spans="1:5" x14ac:dyDescent="0.35">
      <c r="A106" s="8" t="s">
        <v>112</v>
      </c>
      <c r="B106" s="130">
        <v>0</v>
      </c>
      <c r="C106" s="27" t="s">
        <v>299</v>
      </c>
      <c r="D106" s="8">
        <f t="shared" si="4"/>
        <v>0</v>
      </c>
      <c r="E106" s="17" t="s">
        <v>421</v>
      </c>
    </row>
    <row r="107" spans="1:5" x14ac:dyDescent="0.35">
      <c r="A107" s="8" t="s">
        <v>116</v>
      </c>
      <c r="B107" s="130">
        <v>0</v>
      </c>
      <c r="C107" s="8" t="s">
        <v>117</v>
      </c>
      <c r="D107" s="8">
        <f t="shared" si="4"/>
        <v>0</v>
      </c>
      <c r="E107" s="17" t="s">
        <v>421</v>
      </c>
    </row>
    <row r="108" spans="1:5" x14ac:dyDescent="0.35">
      <c r="A108" s="8" t="s">
        <v>118</v>
      </c>
      <c r="B108" s="130">
        <v>0</v>
      </c>
      <c r="C108" s="8" t="s">
        <v>117</v>
      </c>
      <c r="D108" s="8">
        <f t="shared" si="4"/>
        <v>0</v>
      </c>
      <c r="E108" s="17" t="s">
        <v>421</v>
      </c>
    </row>
    <row r="109" spans="1:5" ht="29.15" customHeight="1" x14ac:dyDescent="0.35">
      <c r="A109" s="8" t="s">
        <v>364</v>
      </c>
      <c r="B109" s="130">
        <v>0</v>
      </c>
      <c r="C109" s="8" t="s">
        <v>117</v>
      </c>
      <c r="D109" s="8">
        <f t="shared" si="4"/>
        <v>0</v>
      </c>
      <c r="E109" s="31" t="s">
        <v>430</v>
      </c>
    </row>
    <row r="110" spans="1:5" ht="87" customHeight="1" x14ac:dyDescent="0.35">
      <c r="A110" s="8" t="s">
        <v>263</v>
      </c>
      <c r="B110" s="130">
        <v>0</v>
      </c>
      <c r="C110" s="27" t="s">
        <v>406</v>
      </c>
      <c r="D110" s="8">
        <f t="shared" si="4"/>
        <v>0</v>
      </c>
      <c r="E110" s="17" t="s">
        <v>388</v>
      </c>
    </row>
    <row r="111" spans="1:5" ht="29" x14ac:dyDescent="0.35">
      <c r="A111" s="8" t="s">
        <v>264</v>
      </c>
      <c r="B111" s="130">
        <v>0</v>
      </c>
      <c r="C111" s="27" t="s">
        <v>406</v>
      </c>
      <c r="D111" s="8">
        <f t="shared" si="4"/>
        <v>0</v>
      </c>
      <c r="E111" s="17" t="s">
        <v>413</v>
      </c>
    </row>
    <row r="112" spans="1:5" ht="54.75" customHeight="1" x14ac:dyDescent="0.35">
      <c r="A112" s="8" t="s">
        <v>278</v>
      </c>
      <c r="B112" s="130">
        <v>0</v>
      </c>
      <c r="C112" s="27" t="s">
        <v>406</v>
      </c>
      <c r="D112" s="8">
        <f t="shared" ref="D112:D114" si="5">B112</f>
        <v>0</v>
      </c>
      <c r="E112" s="17" t="s">
        <v>901</v>
      </c>
    </row>
    <row r="113" spans="1:5" ht="90.75" customHeight="1" x14ac:dyDescent="0.35">
      <c r="A113" s="8" t="s">
        <v>279</v>
      </c>
      <c r="B113" s="130">
        <v>0</v>
      </c>
      <c r="C113" s="27" t="s">
        <v>406</v>
      </c>
      <c r="D113" s="8">
        <f t="shared" si="5"/>
        <v>0</v>
      </c>
      <c r="E113" s="17" t="s">
        <v>415</v>
      </c>
    </row>
    <row r="114" spans="1:5" ht="60" customHeight="1" x14ac:dyDescent="0.35">
      <c r="A114" s="35" t="s">
        <v>280</v>
      </c>
      <c r="B114" s="130">
        <v>0</v>
      </c>
      <c r="C114" s="27" t="s">
        <v>406</v>
      </c>
      <c r="D114" s="35">
        <f t="shared" si="5"/>
        <v>0</v>
      </c>
      <c r="E114" s="17" t="s">
        <v>414</v>
      </c>
    </row>
    <row r="115" spans="1:5" x14ac:dyDescent="0.35">
      <c r="A115" s="20" t="s">
        <v>121</v>
      </c>
      <c r="B115" s="130">
        <v>0</v>
      </c>
      <c r="C115" s="26" t="s">
        <v>299</v>
      </c>
      <c r="D115" s="20">
        <f>B115</f>
        <v>0</v>
      </c>
      <c r="E115" s="121"/>
    </row>
    <row r="116" spans="1:5" x14ac:dyDescent="0.35">
      <c r="A116" s="20" t="s">
        <v>122</v>
      </c>
      <c r="B116" s="130">
        <v>0</v>
      </c>
      <c r="C116" s="20"/>
      <c r="D116" s="20">
        <f t="shared" ref="D116:D121" si="6">B116</f>
        <v>0</v>
      </c>
      <c r="E116" s="121" t="s">
        <v>890</v>
      </c>
    </row>
    <row r="117" spans="1:5" x14ac:dyDescent="0.35">
      <c r="A117" s="20" t="s">
        <v>123</v>
      </c>
      <c r="B117" s="130">
        <v>0</v>
      </c>
      <c r="C117" s="20"/>
      <c r="D117" s="20">
        <f t="shared" si="6"/>
        <v>0</v>
      </c>
      <c r="E117" s="121" t="s">
        <v>891</v>
      </c>
    </row>
    <row r="118" spans="1:5" ht="29" x14ac:dyDescent="0.35">
      <c r="A118" s="20" t="s">
        <v>124</v>
      </c>
      <c r="B118" s="130">
        <v>0</v>
      </c>
      <c r="C118" s="20"/>
      <c r="D118" s="20">
        <f t="shared" si="6"/>
        <v>0</v>
      </c>
      <c r="E118" s="121" t="s">
        <v>892</v>
      </c>
    </row>
    <row r="119" spans="1:5" x14ac:dyDescent="0.35">
      <c r="A119" s="20" t="s">
        <v>125</v>
      </c>
      <c r="B119" s="130">
        <v>0</v>
      </c>
      <c r="C119" s="20"/>
      <c r="D119" s="20">
        <f t="shared" si="6"/>
        <v>0</v>
      </c>
      <c r="E119" s="121" t="s">
        <v>895</v>
      </c>
    </row>
    <row r="120" spans="1:5" x14ac:dyDescent="0.35">
      <c r="A120" s="20" t="s">
        <v>420</v>
      </c>
      <c r="B120" s="130">
        <v>0</v>
      </c>
      <c r="C120" s="20" t="s">
        <v>299</v>
      </c>
      <c r="D120" s="20">
        <f>B120</f>
        <v>0</v>
      </c>
      <c r="E120" s="121" t="s">
        <v>893</v>
      </c>
    </row>
    <row r="121" spans="1:5" x14ac:dyDescent="0.35">
      <c r="A121" s="20" t="s">
        <v>126</v>
      </c>
      <c r="B121" s="130">
        <v>0</v>
      </c>
      <c r="C121" s="26" t="s">
        <v>299</v>
      </c>
      <c r="D121" s="20">
        <f t="shared" si="6"/>
        <v>0</v>
      </c>
      <c r="E121" s="121" t="s">
        <v>894</v>
      </c>
    </row>
    <row r="122" spans="1:5" x14ac:dyDescent="0.35">
      <c r="A122" s="122" t="s">
        <v>110</v>
      </c>
      <c r="B122" s="125">
        <f>(B115/2)+(B116*2)+3</f>
        <v>3</v>
      </c>
      <c r="C122" s="123" t="s">
        <v>299</v>
      </c>
      <c r="D122" s="122">
        <f t="shared" ref="D122:D131" si="7">B122</f>
        <v>3</v>
      </c>
      <c r="E122" s="124" t="s">
        <v>896</v>
      </c>
    </row>
    <row r="123" spans="1:5" x14ac:dyDescent="0.35">
      <c r="A123" s="122" t="s">
        <v>111</v>
      </c>
      <c r="B123" s="125">
        <f>B130-5+(2*(B116-B117))</f>
        <v>-5</v>
      </c>
      <c r="C123" s="123" t="s">
        <v>299</v>
      </c>
      <c r="D123" s="122">
        <f t="shared" si="7"/>
        <v>-5</v>
      </c>
      <c r="E123" s="124" t="s">
        <v>896</v>
      </c>
    </row>
    <row r="124" spans="1:5" x14ac:dyDescent="0.35">
      <c r="A124" s="122" t="s">
        <v>113</v>
      </c>
      <c r="B124" s="125">
        <f>B131-5+(2*(B116-B119))</f>
        <v>-5</v>
      </c>
      <c r="C124" s="123" t="s">
        <v>299</v>
      </c>
      <c r="D124" s="122">
        <f t="shared" si="7"/>
        <v>-5</v>
      </c>
      <c r="E124" s="124" t="s">
        <v>896</v>
      </c>
    </row>
    <row r="125" spans="1:5" x14ac:dyDescent="0.35">
      <c r="A125" s="122" t="s">
        <v>114</v>
      </c>
      <c r="B125" s="125">
        <f>B122+6+(B24/2)+B121</f>
        <v>9</v>
      </c>
      <c r="C125" s="123" t="s">
        <v>299</v>
      </c>
      <c r="D125" s="122">
        <f t="shared" si="7"/>
        <v>9</v>
      </c>
      <c r="E125" s="124" t="s">
        <v>896</v>
      </c>
    </row>
    <row r="126" spans="1:5" x14ac:dyDescent="0.35">
      <c r="A126" s="122" t="s">
        <v>115</v>
      </c>
      <c r="B126" s="125">
        <f>B122-2</f>
        <v>1</v>
      </c>
      <c r="C126" s="123" t="s">
        <v>299</v>
      </c>
      <c r="D126" s="122">
        <f t="shared" si="7"/>
        <v>1</v>
      </c>
      <c r="E126" s="124" t="s">
        <v>896</v>
      </c>
    </row>
    <row r="127" spans="1:5" x14ac:dyDescent="0.35">
      <c r="A127" s="122" t="s">
        <v>276</v>
      </c>
      <c r="B127" s="125">
        <f>B122-2</f>
        <v>1</v>
      </c>
      <c r="C127" s="123" t="s">
        <v>299</v>
      </c>
      <c r="D127" s="122">
        <f t="shared" si="7"/>
        <v>1</v>
      </c>
      <c r="E127" s="124" t="s">
        <v>896</v>
      </c>
    </row>
    <row r="128" spans="1:5" x14ac:dyDescent="0.35">
      <c r="A128" s="122" t="s">
        <v>119</v>
      </c>
      <c r="B128" s="125">
        <f>B130-5+(2*(B116-B117))</f>
        <v>-5</v>
      </c>
      <c r="C128" s="123" t="s">
        <v>299</v>
      </c>
      <c r="D128" s="122">
        <f t="shared" si="7"/>
        <v>-5</v>
      </c>
      <c r="E128" s="124" t="s">
        <v>896</v>
      </c>
    </row>
    <row r="129" spans="1:5" x14ac:dyDescent="0.35">
      <c r="A129" s="122" t="s">
        <v>120</v>
      </c>
      <c r="B129" s="125">
        <f>B131-5+(2*(B116-B119))</f>
        <v>-5</v>
      </c>
      <c r="C129" s="123" t="s">
        <v>299</v>
      </c>
      <c r="D129" s="122">
        <f t="shared" si="7"/>
        <v>-5</v>
      </c>
      <c r="E129" s="124" t="s">
        <v>896</v>
      </c>
    </row>
    <row r="130" spans="1:5" x14ac:dyDescent="0.35">
      <c r="A130" s="122" t="s">
        <v>105</v>
      </c>
      <c r="B130" s="125">
        <f>B22+B25+B26+B118</f>
        <v>0</v>
      </c>
      <c r="C130" s="123" t="s">
        <v>299</v>
      </c>
      <c r="D130" s="122">
        <f t="shared" si="7"/>
        <v>0</v>
      </c>
      <c r="E130" s="124" t="s">
        <v>896</v>
      </c>
    </row>
    <row r="131" spans="1:5" x14ac:dyDescent="0.35">
      <c r="A131" s="122" t="s">
        <v>106</v>
      </c>
      <c r="B131" s="125">
        <f>B23+B25+B26+B118+B120</f>
        <v>0</v>
      </c>
      <c r="C131" s="122" t="s">
        <v>299</v>
      </c>
      <c r="D131" s="122">
        <f t="shared" si="7"/>
        <v>0</v>
      </c>
      <c r="E131" s="124" t="s">
        <v>896</v>
      </c>
    </row>
  </sheetData>
  <sheetProtection selectLockedCell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241B78-0BBE-49A2-B14F-8EBDEE9656A4}">
          <x14:formula1>
            <xm:f>LU!$S$8:$S$20</xm:f>
          </x14:formula1>
          <xm:sqref>H15</xm:sqref>
        </x14:dataValidation>
        <x14:dataValidation type="list" allowBlank="1" showInputMessage="1" showErrorMessage="1" xr:uid="{EBDECCB8-D3F8-4EDF-B713-A504AEE0373D}">
          <x14:formula1>
            <xm:f>LU!$R$8:$R$11</xm:f>
          </x14:formula1>
          <xm:sqref>H14</xm:sqref>
        </x14:dataValidation>
        <x14:dataValidation type="list" allowBlank="1" showInputMessage="1" showErrorMessage="1" xr:uid="{B632393F-3325-4A5F-9BEF-5F351B443916}">
          <x14:formula1>
            <xm:f>LU!$Q$6:$Q$7</xm:f>
          </x14:formula1>
          <xm:sqref>H13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D7E-3B58-423A-AFDC-DCDE624E3FFB}">
  <dimension ref="A1:G50"/>
  <sheetViews>
    <sheetView workbookViewId="0">
      <selection activeCell="D6" sqref="D6"/>
    </sheetView>
  </sheetViews>
  <sheetFormatPr defaultRowHeight="14.5" x14ac:dyDescent="0.35"/>
  <cols>
    <col min="1" max="1" width="21.1796875" customWidth="1"/>
    <col min="2" max="2" width="20.26953125" customWidth="1"/>
    <col min="3" max="3" width="43.1796875" customWidth="1"/>
    <col min="4" max="4" width="44.81640625" customWidth="1"/>
    <col min="5" max="5" width="27.54296875" style="82" customWidth="1"/>
  </cols>
  <sheetData>
    <row r="1" spans="1:7" x14ac:dyDescent="0.35">
      <c r="A1" s="13" t="s">
        <v>627</v>
      </c>
      <c r="B1" s="13" t="s">
        <v>628</v>
      </c>
      <c r="C1" s="13" t="s">
        <v>629</v>
      </c>
      <c r="D1" s="97" t="s">
        <v>630</v>
      </c>
      <c r="E1" s="98"/>
    </row>
    <row r="2" spans="1:7" s="91" customFormat="1" x14ac:dyDescent="0.35">
      <c r="A2" s="87" t="s">
        <v>643</v>
      </c>
      <c r="B2" s="86"/>
      <c r="C2" s="88"/>
      <c r="D2" s="131"/>
      <c r="E2" s="99"/>
    </row>
    <row r="3" spans="1:7" x14ac:dyDescent="0.35">
      <c r="A3" s="8" t="s">
        <v>618</v>
      </c>
      <c r="B3" s="8" t="s">
        <v>639</v>
      </c>
      <c r="C3" s="8" t="s">
        <v>645</v>
      </c>
      <c r="D3" s="132"/>
      <c r="F3" s="71"/>
    </row>
    <row r="4" spans="1:7" x14ac:dyDescent="0.35">
      <c r="A4" s="8"/>
      <c r="B4" s="8"/>
      <c r="C4" s="8" t="s">
        <v>653</v>
      </c>
      <c r="D4" s="132"/>
      <c r="F4" s="68"/>
      <c r="G4" s="71"/>
    </row>
    <row r="5" spans="1:7" x14ac:dyDescent="0.35">
      <c r="A5" s="8"/>
      <c r="B5" s="8"/>
      <c r="C5" s="8" t="s">
        <v>656</v>
      </c>
      <c r="D5" s="132"/>
      <c r="F5" s="68"/>
      <c r="G5" s="70"/>
    </row>
    <row r="6" spans="1:7" x14ac:dyDescent="0.35">
      <c r="A6" s="8"/>
      <c r="B6" s="8"/>
      <c r="C6" s="8" t="s">
        <v>659</v>
      </c>
      <c r="D6" s="132"/>
      <c r="F6" s="68"/>
    </row>
    <row r="7" spans="1:7" x14ac:dyDescent="0.35">
      <c r="A7" s="8"/>
      <c r="B7" s="8"/>
      <c r="C7" s="8" t="s">
        <v>662</v>
      </c>
      <c r="D7" s="132"/>
      <c r="F7" s="67"/>
    </row>
    <row r="8" spans="1:7" x14ac:dyDescent="0.35">
      <c r="A8" s="8"/>
      <c r="B8" s="8"/>
      <c r="C8" s="8" t="s">
        <v>664</v>
      </c>
      <c r="D8" s="132"/>
      <c r="F8" s="67"/>
    </row>
    <row r="9" spans="1:7" x14ac:dyDescent="0.35">
      <c r="A9" s="8" t="s">
        <v>619</v>
      </c>
      <c r="B9" s="8" t="s">
        <v>493</v>
      </c>
      <c r="C9" s="8" t="s">
        <v>689</v>
      </c>
      <c r="D9" s="132"/>
      <c r="F9" s="67"/>
    </row>
    <row r="10" spans="1:7" x14ac:dyDescent="0.35">
      <c r="A10" s="8"/>
      <c r="B10" s="8"/>
      <c r="C10" s="8" t="s">
        <v>690</v>
      </c>
      <c r="D10" s="132"/>
      <c r="F10" s="67"/>
    </row>
    <row r="11" spans="1:7" x14ac:dyDescent="0.35">
      <c r="A11" s="8"/>
      <c r="B11" s="8"/>
      <c r="C11" s="8" t="s">
        <v>691</v>
      </c>
      <c r="D11" s="132"/>
      <c r="F11" s="67"/>
    </row>
    <row r="12" spans="1:7" x14ac:dyDescent="0.35">
      <c r="A12" s="8"/>
      <c r="B12" s="8"/>
      <c r="C12" s="8" t="s">
        <v>669</v>
      </c>
      <c r="D12" s="132"/>
    </row>
    <row r="13" spans="1:7" x14ac:dyDescent="0.35">
      <c r="A13" s="8"/>
      <c r="B13" s="8"/>
      <c r="C13" s="8" t="s">
        <v>670</v>
      </c>
      <c r="D13" s="132"/>
    </row>
    <row r="14" spans="1:7" x14ac:dyDescent="0.35">
      <c r="A14" s="8"/>
      <c r="B14" s="8"/>
      <c r="C14" s="8" t="s">
        <v>671</v>
      </c>
      <c r="D14" s="132"/>
    </row>
    <row r="15" spans="1:7" x14ac:dyDescent="0.35">
      <c r="A15" s="8" t="s">
        <v>620</v>
      </c>
      <c r="B15" s="8" t="s">
        <v>508</v>
      </c>
      <c r="C15" s="8" t="s">
        <v>678</v>
      </c>
      <c r="D15" s="132"/>
    </row>
    <row r="16" spans="1:7" x14ac:dyDescent="0.35">
      <c r="A16" s="8"/>
      <c r="B16" s="8"/>
      <c r="C16" s="8" t="s">
        <v>679</v>
      </c>
      <c r="D16" s="132"/>
    </row>
    <row r="17" spans="1:4" x14ac:dyDescent="0.35">
      <c r="A17" s="8"/>
      <c r="B17" s="8"/>
      <c r="C17" s="17" t="s">
        <v>688</v>
      </c>
      <c r="D17" s="133"/>
    </row>
    <row r="18" spans="1:4" x14ac:dyDescent="0.35">
      <c r="A18" s="8"/>
      <c r="B18" s="8"/>
      <c r="C18" s="8" t="s">
        <v>681</v>
      </c>
      <c r="D18" s="132"/>
    </row>
    <row r="19" spans="1:4" x14ac:dyDescent="0.35">
      <c r="A19" s="8" t="s">
        <v>621</v>
      </c>
      <c r="B19" s="8" t="s">
        <v>523</v>
      </c>
      <c r="C19" s="8" t="s">
        <v>695</v>
      </c>
      <c r="D19" s="132"/>
    </row>
    <row r="20" spans="1:4" x14ac:dyDescent="0.35">
      <c r="A20" s="8"/>
      <c r="B20" s="8"/>
      <c r="C20" s="8" t="s">
        <v>696</v>
      </c>
      <c r="D20" s="132"/>
    </row>
    <row r="21" spans="1:4" x14ac:dyDescent="0.35">
      <c r="A21" s="8"/>
      <c r="B21" s="8"/>
      <c r="C21" s="17" t="s">
        <v>697</v>
      </c>
      <c r="D21" s="132"/>
    </row>
    <row r="22" spans="1:4" x14ac:dyDescent="0.35">
      <c r="A22" s="8"/>
      <c r="B22" s="8"/>
      <c r="C22" s="8" t="s">
        <v>698</v>
      </c>
      <c r="D22" s="132"/>
    </row>
    <row r="23" spans="1:4" x14ac:dyDescent="0.35">
      <c r="A23" s="8"/>
      <c r="B23" s="8"/>
      <c r="C23" s="8" t="s">
        <v>699</v>
      </c>
      <c r="D23" s="132"/>
    </row>
    <row r="24" spans="1:4" x14ac:dyDescent="0.35">
      <c r="A24" s="8"/>
      <c r="B24" s="8"/>
      <c r="C24" s="8" t="s">
        <v>700</v>
      </c>
      <c r="D24" s="132"/>
    </row>
    <row r="25" spans="1:4" x14ac:dyDescent="0.35">
      <c r="A25" s="8"/>
      <c r="B25" s="8"/>
      <c r="C25" s="8" t="s">
        <v>701</v>
      </c>
      <c r="D25" s="132"/>
    </row>
    <row r="26" spans="1:4" x14ac:dyDescent="0.35">
      <c r="A26" s="8"/>
      <c r="B26" s="8"/>
      <c r="C26" s="8" t="s">
        <v>702</v>
      </c>
      <c r="D26" s="132"/>
    </row>
    <row r="27" spans="1:4" x14ac:dyDescent="0.35">
      <c r="A27" s="8" t="s">
        <v>622</v>
      </c>
      <c r="B27" s="20" t="s">
        <v>638</v>
      </c>
      <c r="C27" s="8" t="s">
        <v>721</v>
      </c>
      <c r="D27" s="132"/>
    </row>
    <row r="28" spans="1:4" x14ac:dyDescent="0.35">
      <c r="A28" s="8"/>
      <c r="B28" s="8"/>
      <c r="C28" s="8" t="s">
        <v>722</v>
      </c>
      <c r="D28" s="132"/>
    </row>
    <row r="29" spans="1:4" x14ac:dyDescent="0.35">
      <c r="A29" s="8"/>
      <c r="B29" s="8"/>
      <c r="C29" s="8" t="s">
        <v>723</v>
      </c>
      <c r="D29" s="132"/>
    </row>
    <row r="30" spans="1:4" x14ac:dyDescent="0.35">
      <c r="A30" s="8"/>
      <c r="B30" s="8"/>
      <c r="C30" s="17" t="s">
        <v>737</v>
      </c>
      <c r="D30" s="132"/>
    </row>
    <row r="31" spans="1:4" x14ac:dyDescent="0.35">
      <c r="A31" s="1"/>
      <c r="B31" s="1"/>
      <c r="C31" s="103" t="s">
        <v>725</v>
      </c>
      <c r="D31" s="132"/>
    </row>
    <row r="32" spans="1:4" x14ac:dyDescent="0.35">
      <c r="A32" s="1"/>
      <c r="B32" s="1"/>
      <c r="C32" s="103" t="s">
        <v>726</v>
      </c>
      <c r="D32" s="132"/>
    </row>
    <row r="33" spans="1:4" x14ac:dyDescent="0.35">
      <c r="A33" s="1"/>
      <c r="B33" s="1"/>
      <c r="C33" s="103" t="s">
        <v>727</v>
      </c>
      <c r="D33" s="132"/>
    </row>
    <row r="34" spans="1:4" x14ac:dyDescent="0.35">
      <c r="A34" s="1"/>
      <c r="B34" s="1"/>
      <c r="C34" s="103" t="s">
        <v>728</v>
      </c>
      <c r="D34" s="132"/>
    </row>
    <row r="35" spans="1:4" x14ac:dyDescent="0.35">
      <c r="A35" s="1"/>
      <c r="B35" s="1"/>
      <c r="C35" s="44" t="s">
        <v>738</v>
      </c>
      <c r="D35" s="132"/>
    </row>
    <row r="36" spans="1:4" x14ac:dyDescent="0.35">
      <c r="A36" s="1"/>
      <c r="B36" s="1"/>
      <c r="C36" s="44" t="s">
        <v>735</v>
      </c>
      <c r="D36" s="132"/>
    </row>
    <row r="37" spans="1:4" x14ac:dyDescent="0.35">
      <c r="A37" s="1"/>
      <c r="B37" s="1"/>
      <c r="C37" s="103" t="s">
        <v>730</v>
      </c>
      <c r="D37" s="132"/>
    </row>
    <row r="38" spans="1:4" x14ac:dyDescent="0.35">
      <c r="A38" s="8" t="s">
        <v>623</v>
      </c>
      <c r="B38" s="8" t="s">
        <v>637</v>
      </c>
      <c r="C38" s="8" t="s">
        <v>739</v>
      </c>
      <c r="D38" s="132"/>
    </row>
    <row r="39" spans="1:4" x14ac:dyDescent="0.35">
      <c r="A39" s="8"/>
      <c r="B39" s="8"/>
      <c r="C39" s="8" t="s">
        <v>740</v>
      </c>
      <c r="D39" s="132"/>
    </row>
    <row r="40" spans="1:4" x14ac:dyDescent="0.35">
      <c r="A40" s="1"/>
      <c r="B40" s="1"/>
      <c r="C40" s="1" t="s">
        <v>741</v>
      </c>
      <c r="D40" s="132"/>
    </row>
    <row r="41" spans="1:4" x14ac:dyDescent="0.35">
      <c r="A41" s="1"/>
      <c r="B41" s="1"/>
      <c r="C41" s="1" t="s">
        <v>742</v>
      </c>
      <c r="D41" s="132"/>
    </row>
    <row r="42" spans="1:4" x14ac:dyDescent="0.35">
      <c r="A42" s="1"/>
      <c r="B42" s="1"/>
      <c r="C42" s="1" t="s">
        <v>743</v>
      </c>
      <c r="D42" s="132"/>
    </row>
    <row r="43" spans="1:4" x14ac:dyDescent="0.35">
      <c r="A43" s="1"/>
      <c r="B43" s="1"/>
      <c r="C43" s="44" t="s">
        <v>744</v>
      </c>
      <c r="D43" s="132"/>
    </row>
    <row r="44" spans="1:4" x14ac:dyDescent="0.35">
      <c r="A44" s="1"/>
      <c r="B44" s="1"/>
      <c r="C44" s="1" t="s">
        <v>745</v>
      </c>
      <c r="D44" s="132"/>
    </row>
    <row r="45" spans="1:4" x14ac:dyDescent="0.35">
      <c r="A45" s="1"/>
      <c r="B45" s="1"/>
      <c r="C45" s="1" t="s">
        <v>746</v>
      </c>
      <c r="D45" s="132"/>
    </row>
    <row r="46" spans="1:4" x14ac:dyDescent="0.35">
      <c r="A46" s="1"/>
      <c r="B46" s="1"/>
      <c r="C46" s="1" t="s">
        <v>747</v>
      </c>
      <c r="D46" s="132"/>
    </row>
    <row r="47" spans="1:4" x14ac:dyDescent="0.35">
      <c r="A47" s="8" t="s">
        <v>625</v>
      </c>
      <c r="B47" s="8" t="s">
        <v>636</v>
      </c>
      <c r="C47" s="8" t="s">
        <v>424</v>
      </c>
      <c r="D47" s="132"/>
    </row>
    <row r="48" spans="1:4" x14ac:dyDescent="0.35">
      <c r="A48" s="8"/>
      <c r="B48" s="8"/>
      <c r="C48" s="8" t="s">
        <v>752</v>
      </c>
      <c r="D48" s="132"/>
    </row>
    <row r="49" spans="1:4" x14ac:dyDescent="0.35">
      <c r="A49" s="1"/>
      <c r="B49" s="1"/>
      <c r="C49" s="1" t="s">
        <v>753</v>
      </c>
      <c r="D49" s="134"/>
    </row>
    <row r="50" spans="1:4" x14ac:dyDescent="0.35">
      <c r="A50" s="1"/>
      <c r="B50" s="1"/>
      <c r="C50" s="1" t="s">
        <v>754</v>
      </c>
      <c r="D50" s="134"/>
    </row>
  </sheetData>
  <sheetProtection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 xr:uid="{FC7E98B8-639F-4B3C-B4A1-679EC69DAC1D}">
          <x14:formula1>
            <xm:f>LU!$L$6:$L$15</xm:f>
          </x14:formula1>
          <xm:sqref>D3</xm:sqref>
        </x14:dataValidation>
        <x14:dataValidation type="list" allowBlank="1" showInputMessage="1" showErrorMessage="1" xr:uid="{9EEAF9B3-F07F-443D-A6C1-79F4D7849282}">
          <x14:formula1>
            <xm:f>LU!$L$16:$L$17</xm:f>
          </x14:formula1>
          <xm:sqref>D4</xm:sqref>
        </x14:dataValidation>
        <x14:dataValidation type="list" allowBlank="1" showInputMessage="1" showErrorMessage="1" xr:uid="{D2C1A72B-A09E-420F-AAB3-9F99AFF568BB}">
          <x14:formula1>
            <xm:f>LU!$L$18:$L$19</xm:f>
          </x14:formula1>
          <xm:sqref>D5</xm:sqref>
        </x14:dataValidation>
        <x14:dataValidation type="list" allowBlank="1" showInputMessage="1" showErrorMessage="1" xr:uid="{507709F3-1A21-48AE-899A-66E481140BAB}">
          <x14:formula1>
            <xm:f>LU!$L$45:$L$46</xm:f>
          </x14:formula1>
          <xm:sqref>D7</xm:sqref>
        </x14:dataValidation>
        <x14:dataValidation type="list" allowBlank="1" showInputMessage="1" showErrorMessage="1" xr:uid="{E59958EB-AD31-4DE7-8B29-88095728F81C}">
          <x14:formula1>
            <xm:f>LU!$L$47:$L$50</xm:f>
          </x14:formula1>
          <xm:sqref>D8</xm:sqref>
        </x14:dataValidation>
        <x14:dataValidation type="list" allowBlank="1" showInputMessage="1" showErrorMessage="1" xr:uid="{635EFE37-09ED-43ED-AB2A-2E48F3750D83}">
          <x14:formula1>
            <xm:f>LU!$L$63:$L$66</xm:f>
          </x14:formula1>
          <xm:sqref>D12</xm:sqref>
        </x14:dataValidation>
        <x14:dataValidation type="list" allowBlank="1" showInputMessage="1" showErrorMessage="1" xr:uid="{1D4CEF07-0F68-4972-946D-569169FE6D0C}">
          <x14:formula1>
            <xm:f>LU!$L$70:$L$71</xm:f>
          </x14:formula1>
          <xm:sqref>D14</xm:sqref>
        </x14:dataValidation>
        <x14:dataValidation type="list" allowBlank="1" showInputMessage="1" showErrorMessage="1" xr:uid="{732C7ED1-595D-4EA0-ADBB-9F4AA9CAF76C}">
          <x14:formula1>
            <xm:f>LU!$L$67:$L$69</xm:f>
          </x14:formula1>
          <xm:sqref>D13</xm:sqref>
        </x14:dataValidation>
        <x14:dataValidation type="list" allowBlank="1" showInputMessage="1" showErrorMessage="1" xr:uid="{42E086C3-41EB-44E5-8355-C366A30B3CC3}">
          <x14:formula1>
            <xm:f>LU!$L$72:$L$73</xm:f>
          </x14:formula1>
          <xm:sqref>D15</xm:sqref>
        </x14:dataValidation>
        <x14:dataValidation type="list" allowBlank="1" showInputMessage="1" showErrorMessage="1" xr:uid="{6A31A68C-A6A4-43D6-95F9-DC454E6A6EA1}">
          <x14:formula1>
            <xm:f>LU!$L$53:$L$54</xm:f>
          </x14:formula1>
          <xm:sqref>D10</xm:sqref>
        </x14:dataValidation>
        <x14:dataValidation type="list" allowBlank="1" showInputMessage="1" showErrorMessage="1" xr:uid="{215D851D-047D-4E85-858A-19EF642B509A}">
          <x14:formula1>
            <xm:f>LU!$L$55:$L$62</xm:f>
          </x14:formula1>
          <xm:sqref>D11</xm:sqref>
        </x14:dataValidation>
        <x14:dataValidation type="list" allowBlank="1" showInputMessage="1" showErrorMessage="1" xr:uid="{2B9E4748-AE12-4637-8580-B59D365FE48F}">
          <x14:formula1>
            <xm:f>LU!$L$51:$L$52</xm:f>
          </x14:formula1>
          <xm:sqref>D9</xm:sqref>
        </x14:dataValidation>
        <x14:dataValidation type="list" allowBlank="1" showInputMessage="1" showErrorMessage="1" xr:uid="{4D20B0D1-F611-457F-8B0C-A97DA49D34B8}">
          <x14:formula1>
            <xm:f>LU!$L$83:$L$90</xm:f>
          </x14:formula1>
          <xm:sqref>D18</xm:sqref>
        </x14:dataValidation>
        <x14:dataValidation type="list" allowBlank="1" showInputMessage="1" showErrorMessage="1" xr:uid="{D2FBB0F4-E8E3-45D2-AB96-1F3C0EB15FD4}">
          <x14:formula1>
            <xm:f>LU!$L$74:$L$78</xm:f>
          </x14:formula1>
          <xm:sqref>D16</xm:sqref>
        </x14:dataValidation>
        <x14:dataValidation type="list" allowBlank="1" showInputMessage="1" showErrorMessage="1" xr:uid="{4DF75AAE-91E9-4D19-9AD4-FCAFDEB8A413}">
          <x14:formula1>
            <xm:f>LU!$L$79:$L$82</xm:f>
          </x14:formula1>
          <xm:sqref>D17</xm:sqref>
        </x14:dataValidation>
        <x14:dataValidation type="list" allowBlank="1" showInputMessage="1" showErrorMessage="1" xr:uid="{D0CFEEDF-12F5-40CB-9638-8B9E75E7565A}">
          <x14:formula1>
            <xm:f>LU!$L$94:$L$96</xm:f>
          </x14:formula1>
          <xm:sqref>D20</xm:sqref>
        </x14:dataValidation>
        <x14:dataValidation type="list" allowBlank="1" showInputMessage="1" showErrorMessage="1" xr:uid="{50FF8954-E45A-463D-9326-206E865144F1}">
          <x14:formula1>
            <xm:f>LU!$L$102:$L$103</xm:f>
          </x14:formula1>
          <xm:sqref>D22</xm:sqref>
        </x14:dataValidation>
        <x14:dataValidation type="list" allowBlank="1" showInputMessage="1" showErrorMessage="1" xr:uid="{28558CE0-3286-4E1D-8378-4E1853B812BF}">
          <x14:formula1>
            <xm:f>LU!$L$104:$L$105</xm:f>
          </x14:formula1>
          <xm:sqref>D23</xm:sqref>
        </x14:dataValidation>
        <x14:dataValidation type="list" allowBlank="1" showInputMessage="1" showErrorMessage="1" xr:uid="{4CCD24F6-B2B6-4E8D-8642-1D7D69F89536}">
          <x14:formula1>
            <xm:f>LU!$L$106:$L$107</xm:f>
          </x14:formula1>
          <xm:sqref>D24</xm:sqref>
        </x14:dataValidation>
        <x14:dataValidation type="list" allowBlank="1" showInputMessage="1" showErrorMessage="1" xr:uid="{2AA8F4BA-7ACA-415C-86C6-36F3D6C688F6}">
          <x14:formula1>
            <xm:f>LU!$L$110:$L$113</xm:f>
          </x14:formula1>
          <xm:sqref>D26</xm:sqref>
        </x14:dataValidation>
        <x14:dataValidation type="list" allowBlank="1" showInputMessage="1" showErrorMessage="1" xr:uid="{D74868CF-9CBA-4F82-932B-A5F847F127E4}">
          <x14:formula1>
            <xm:f>LU!$L$91:$L$93</xm:f>
          </x14:formula1>
          <xm:sqref>D19</xm:sqref>
        </x14:dataValidation>
        <x14:dataValidation type="list" allowBlank="1" showInputMessage="1" showErrorMessage="1" xr:uid="{74B6AD4F-0C3D-4707-8566-E41155527FCD}">
          <x14:formula1>
            <xm:f>LU!$L$97:$L$101</xm:f>
          </x14:formula1>
          <xm:sqref>D21</xm:sqref>
        </x14:dataValidation>
        <x14:dataValidation type="list" allowBlank="1" showInputMessage="1" showErrorMessage="1" xr:uid="{E722C408-F0CF-4894-87FE-B372FB41DBCB}">
          <x14:formula1>
            <xm:f>LU!$L$108:$L$109</xm:f>
          </x14:formula1>
          <xm:sqref>D25</xm:sqref>
        </x14:dataValidation>
        <x14:dataValidation type="list" allowBlank="1" showInputMessage="1" showErrorMessage="1" xr:uid="{413FD634-3A96-4FEC-A92E-E511A6D7E38E}">
          <x14:formula1>
            <xm:f>LU!$L$114:$L$115</xm:f>
          </x14:formula1>
          <xm:sqref>D27</xm:sqref>
        </x14:dataValidation>
        <x14:dataValidation type="list" allowBlank="1" showInputMessage="1" showErrorMessage="1" xr:uid="{1029BEFF-1180-47D4-9CE5-33A5F9E3467F}">
          <x14:formula1>
            <xm:f>LU!$L$116:$L$117</xm:f>
          </x14:formula1>
          <xm:sqref>D28</xm:sqref>
        </x14:dataValidation>
        <x14:dataValidation type="list" allowBlank="1" showInputMessage="1" showErrorMessage="1" xr:uid="{DB03642B-D032-4C6C-8D5A-E4D99BFBD63A}">
          <x14:formula1>
            <xm:f>LU!$L$118:$L$119</xm:f>
          </x14:formula1>
          <xm:sqref>D29</xm:sqref>
        </x14:dataValidation>
        <x14:dataValidation type="list" allowBlank="1" showInputMessage="1" showErrorMessage="1" xr:uid="{CCA6EE39-4367-4F58-9BE9-A1463C7CFC29}">
          <x14:formula1>
            <xm:f>LU!$L$120:$L$121</xm:f>
          </x14:formula1>
          <xm:sqref>D30</xm:sqref>
        </x14:dataValidation>
        <x14:dataValidation type="list" allowBlank="1" showInputMessage="1" showErrorMessage="1" xr:uid="{03559692-8E8B-4575-9CD5-26E2E9106470}">
          <x14:formula1>
            <xm:f>LU!$L$122:$L$123</xm:f>
          </x14:formula1>
          <xm:sqref>D31</xm:sqref>
        </x14:dataValidation>
        <x14:dataValidation type="list" allowBlank="1" showInputMessage="1" showErrorMessage="1" xr:uid="{9494DE18-4141-4015-9F4F-D83A75997FF0}">
          <x14:formula1>
            <xm:f>LU!$L$124:$L$129</xm:f>
          </x14:formula1>
          <xm:sqref>D32</xm:sqref>
        </x14:dataValidation>
        <x14:dataValidation type="list" allowBlank="1" showInputMessage="1" showErrorMessage="1" xr:uid="{D678EBC1-016F-40C1-AF5D-8357166EFD67}">
          <x14:formula1>
            <xm:f>LU!$L$130:$L$131</xm:f>
          </x14:formula1>
          <xm:sqref>D33</xm:sqref>
        </x14:dataValidation>
        <x14:dataValidation type="list" allowBlank="1" showInputMessage="1" showErrorMessage="1" xr:uid="{D9483DE4-8127-4623-BEAC-E0D1510E5B77}">
          <x14:formula1>
            <xm:f>LU!$L$132:$L$133</xm:f>
          </x14:formula1>
          <xm:sqref>D34</xm:sqref>
        </x14:dataValidation>
        <x14:dataValidation type="list" allowBlank="1" showInputMessage="1" showErrorMessage="1" xr:uid="{027E4A46-53F2-47B3-BE36-7C095CCC8F9E}">
          <x14:formula1>
            <xm:f>LU!$L$134:$L$135</xm:f>
          </x14:formula1>
          <xm:sqref>D35</xm:sqref>
        </x14:dataValidation>
        <x14:dataValidation type="list" allowBlank="1" showInputMessage="1" showErrorMessage="1" xr:uid="{8FD54885-6071-42A7-8F8D-55260F499721}">
          <x14:formula1>
            <xm:f>LU!$L$136:$L$137</xm:f>
          </x14:formula1>
          <xm:sqref>D36</xm:sqref>
        </x14:dataValidation>
        <x14:dataValidation type="list" allowBlank="1" showInputMessage="1" showErrorMessage="1" xr:uid="{FA756A57-CD3F-42FB-ADEC-1FBAE22699E0}">
          <x14:formula1>
            <xm:f>LU!$L$138:$L$139</xm:f>
          </x14:formula1>
          <xm:sqref>D37</xm:sqref>
        </x14:dataValidation>
        <x14:dataValidation type="list" allowBlank="1" showInputMessage="1" showErrorMessage="1" xr:uid="{3AE982FD-6291-4F14-BDE1-4F438916DCE9}">
          <x14:formula1>
            <xm:f>LU!$L$140:$L$141</xm:f>
          </x14:formula1>
          <xm:sqref>D38</xm:sqref>
        </x14:dataValidation>
        <x14:dataValidation type="list" allowBlank="1" showInputMessage="1" showErrorMessage="1" xr:uid="{025A0922-4665-4386-9D61-1FD57787B048}">
          <x14:formula1>
            <xm:f>LU!$L$142:$L$143</xm:f>
          </x14:formula1>
          <xm:sqref>D39</xm:sqref>
        </x14:dataValidation>
        <x14:dataValidation type="list" allowBlank="1" showInputMessage="1" showErrorMessage="1" xr:uid="{958CE9D0-DE02-4737-97AF-C9DEBDBB775D}">
          <x14:formula1>
            <xm:f>LU!$L$144:$L$145</xm:f>
          </x14:formula1>
          <xm:sqref>D40</xm:sqref>
        </x14:dataValidation>
        <x14:dataValidation type="list" allowBlank="1" showInputMessage="1" showErrorMessage="1" xr:uid="{CFF08C92-E3C5-43EE-A191-7E583BA23832}">
          <x14:formula1>
            <xm:f>LU!$L$146:$L$147</xm:f>
          </x14:formula1>
          <xm:sqref>D41</xm:sqref>
        </x14:dataValidation>
        <x14:dataValidation type="list" allowBlank="1" showInputMessage="1" showErrorMessage="1" xr:uid="{265A9B81-1E27-4FDC-AD07-A497148B8886}">
          <x14:formula1>
            <xm:f>LU!$L$148:$L$155</xm:f>
          </x14:formula1>
          <xm:sqref>D42</xm:sqref>
        </x14:dataValidation>
        <x14:dataValidation type="list" allowBlank="1" showInputMessage="1" showErrorMessage="1" xr:uid="{59E6ADE8-F02A-44B0-B0D9-C8ABF20CCE83}">
          <x14:formula1>
            <xm:f>LU!$L$156:$L$157</xm:f>
          </x14:formula1>
          <xm:sqref>D43</xm:sqref>
        </x14:dataValidation>
        <x14:dataValidation type="list" allowBlank="1" showInputMessage="1" showErrorMessage="1" xr:uid="{2156C3F4-7DC4-44F1-A3A9-18C5C6E2A2B7}">
          <x14:formula1>
            <xm:f>LU!$L$158:$L$159</xm:f>
          </x14:formula1>
          <xm:sqref>D44</xm:sqref>
        </x14:dataValidation>
        <x14:dataValidation type="list" allowBlank="1" showInputMessage="1" showErrorMessage="1" xr:uid="{1758FA3E-F6CA-44ED-A906-A28C65F6D50F}">
          <x14:formula1>
            <xm:f>LU!$L$160:$L$161</xm:f>
          </x14:formula1>
          <xm:sqref>D45</xm:sqref>
        </x14:dataValidation>
        <x14:dataValidation type="list" allowBlank="1" showInputMessage="1" showErrorMessage="1" xr:uid="{1D4D1D31-7678-42A1-ACA9-9C877BFD9C2D}">
          <x14:formula1>
            <xm:f>LU!$L$162:$L$166</xm:f>
          </x14:formula1>
          <xm:sqref>D46</xm:sqref>
        </x14:dataValidation>
        <x14:dataValidation type="list" allowBlank="1" showInputMessage="1" showErrorMessage="1" xr:uid="{04616C3F-F843-483C-9652-A32BF046F9D2}">
          <x14:formula1>
            <xm:f>LU!$L$167:$L$171</xm:f>
          </x14:formula1>
          <xm:sqref>D47</xm:sqref>
        </x14:dataValidation>
        <x14:dataValidation type="list" allowBlank="1" showInputMessage="1" showErrorMessage="1" xr:uid="{48E0173B-4DCD-4153-9506-CF0D8A3662FA}">
          <x14:formula1>
            <xm:f>LU!$L$172:$L$173</xm:f>
          </x14:formula1>
          <xm:sqref>D48</xm:sqref>
        </x14:dataValidation>
        <x14:dataValidation type="list" allowBlank="1" showInputMessage="1" showErrorMessage="1" xr:uid="{52EEB2AF-6EA0-491A-B024-25F5249C2C52}">
          <x14:formula1>
            <xm:f>LU!$L$174:$L$175</xm:f>
          </x14:formula1>
          <xm:sqref>D49</xm:sqref>
        </x14:dataValidation>
        <x14:dataValidation type="list" allowBlank="1" showInputMessage="1" showErrorMessage="1" xr:uid="{013F209F-1E2F-488B-B112-36AD3EB2C7C7}">
          <x14:formula1>
            <xm:f>LU!$L$176:$L$226</xm:f>
          </x14:formula1>
          <xm:sqref>D50</xm:sqref>
        </x14:dataValidation>
        <x14:dataValidation type="list" allowBlank="1" showInputMessage="1" showErrorMessage="1" xr:uid="{3C11944E-16B4-4FE4-968E-E68BCDC8C43B}">
          <x14:formula1>
            <xm:f>LU!$L$2:$L$5</xm:f>
          </x14:formula1>
          <xm:sqref>D2</xm:sqref>
        </x14:dataValidation>
        <x14:dataValidation type="list" allowBlank="1" showInputMessage="1" showErrorMessage="1" xr:uid="{9F7A4158-5041-4ADF-998F-B9D87A51E4EB}">
          <x14:formula1>
            <xm:f>LU!$L$20:$L$44</xm:f>
          </x14:formula1>
          <xm:sqref>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200B-0352-4858-B0E6-74065F76535B}">
  <dimension ref="A1:H38"/>
  <sheetViews>
    <sheetView workbookViewId="0">
      <selection activeCell="D24" sqref="D24"/>
    </sheetView>
  </sheetViews>
  <sheetFormatPr defaultRowHeight="14.5" x14ac:dyDescent="0.35"/>
  <cols>
    <col min="1" max="1" width="21.1796875" customWidth="1"/>
    <col min="2" max="2" width="20.26953125" customWidth="1"/>
    <col min="3" max="3" width="26.81640625" customWidth="1"/>
    <col min="4" max="4" width="44.1796875" customWidth="1"/>
    <col min="5" max="5" width="27.54296875" style="5" customWidth="1"/>
    <col min="6" max="6" width="8.54296875" customWidth="1"/>
  </cols>
  <sheetData>
    <row r="1" spans="1:8" x14ac:dyDescent="0.35">
      <c r="A1" t="s">
        <v>791</v>
      </c>
    </row>
    <row r="2" spans="1:8" x14ac:dyDescent="0.35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 x14ac:dyDescent="0.35">
      <c r="A3" s="87" t="s">
        <v>643</v>
      </c>
      <c r="B3" s="86"/>
      <c r="C3" s="88"/>
      <c r="D3" s="131"/>
      <c r="E3" s="3"/>
    </row>
    <row r="4" spans="1:8" x14ac:dyDescent="0.35">
      <c r="A4" s="8" t="s">
        <v>618</v>
      </c>
      <c r="B4" s="8" t="s">
        <v>493</v>
      </c>
      <c r="C4" s="8" t="s">
        <v>497</v>
      </c>
      <c r="D4" s="129"/>
      <c r="E4" s="8"/>
      <c r="G4" s="71"/>
    </row>
    <row r="5" spans="1:8" x14ac:dyDescent="0.35">
      <c r="A5" s="8"/>
      <c r="B5" s="8"/>
      <c r="C5" s="8" t="s">
        <v>496</v>
      </c>
      <c r="D5" s="129"/>
      <c r="E5" s="8"/>
      <c r="G5" s="68"/>
      <c r="H5" s="71"/>
    </row>
    <row r="6" spans="1:8" x14ac:dyDescent="0.35">
      <c r="A6" s="8"/>
      <c r="B6" s="8"/>
      <c r="C6" s="8" t="s">
        <v>495</v>
      </c>
      <c r="D6" s="129"/>
      <c r="E6" s="8"/>
      <c r="G6" s="68"/>
      <c r="H6" s="70"/>
    </row>
    <row r="7" spans="1:8" x14ac:dyDescent="0.35">
      <c r="A7" s="8"/>
      <c r="B7" s="8"/>
      <c r="C7" s="8" t="s">
        <v>494</v>
      </c>
      <c r="D7" s="129"/>
      <c r="E7" s="8"/>
      <c r="G7" s="68"/>
    </row>
    <row r="8" spans="1:8" x14ac:dyDescent="0.35">
      <c r="A8" s="8"/>
      <c r="B8" s="8"/>
      <c r="C8" s="8" t="s">
        <v>107</v>
      </c>
      <c r="D8" s="129"/>
      <c r="E8" s="8"/>
      <c r="G8" s="67"/>
    </row>
    <row r="9" spans="1:8" x14ac:dyDescent="0.35">
      <c r="A9" s="8" t="s">
        <v>619</v>
      </c>
      <c r="B9" s="8" t="s">
        <v>508</v>
      </c>
      <c r="C9" s="8" t="s">
        <v>510</v>
      </c>
      <c r="D9" s="129"/>
      <c r="E9" s="8"/>
    </row>
    <row r="10" spans="1:8" x14ac:dyDescent="0.35">
      <c r="A10" s="8"/>
      <c r="B10" s="8"/>
      <c r="C10" s="8" t="s">
        <v>509</v>
      </c>
      <c r="D10" s="129"/>
      <c r="E10" s="8"/>
    </row>
    <row r="11" spans="1:8" x14ac:dyDescent="0.35">
      <c r="A11" s="8"/>
      <c r="B11" s="8"/>
      <c r="C11" s="8" t="s">
        <v>106</v>
      </c>
      <c r="D11" s="129"/>
      <c r="E11" s="8"/>
    </row>
    <row r="12" spans="1:8" ht="29" x14ac:dyDescent="0.35">
      <c r="A12" s="17"/>
      <c r="B12" s="17"/>
      <c r="C12" s="17" t="s">
        <v>105</v>
      </c>
      <c r="D12" s="135"/>
      <c r="E12" s="17" t="s">
        <v>886</v>
      </c>
    </row>
    <row r="13" spans="1:8" x14ac:dyDescent="0.35">
      <c r="A13" s="8" t="s">
        <v>620</v>
      </c>
      <c r="B13" s="8" t="s">
        <v>523</v>
      </c>
      <c r="C13" s="8" t="s">
        <v>528</v>
      </c>
      <c r="D13" s="129"/>
      <c r="E13" s="8"/>
    </row>
    <row r="14" spans="1:8" x14ac:dyDescent="0.35">
      <c r="A14" s="8"/>
      <c r="B14" s="8"/>
      <c r="C14" s="8" t="s">
        <v>529</v>
      </c>
      <c r="D14" s="129"/>
      <c r="E14" s="8"/>
    </row>
    <row r="15" spans="1:8" x14ac:dyDescent="0.35">
      <c r="A15" s="8"/>
      <c r="B15" s="8"/>
      <c r="C15" s="8" t="s">
        <v>527</v>
      </c>
      <c r="D15" s="129"/>
      <c r="E15" s="8"/>
    </row>
    <row r="16" spans="1:8" x14ac:dyDescent="0.35">
      <c r="A16" s="8"/>
      <c r="B16" s="8"/>
      <c r="C16" s="8" t="s">
        <v>526</v>
      </c>
      <c r="D16" s="129"/>
      <c r="E16" s="8"/>
    </row>
    <row r="17" spans="1:5" x14ac:dyDescent="0.35">
      <c r="A17" s="8"/>
      <c r="B17" s="8"/>
      <c r="C17" s="8" t="s">
        <v>525</v>
      </c>
      <c r="D17" s="129"/>
      <c r="E17" s="8"/>
    </row>
    <row r="18" spans="1:5" x14ac:dyDescent="0.35">
      <c r="A18" s="8"/>
      <c r="B18" s="8"/>
      <c r="C18" s="8" t="s">
        <v>524</v>
      </c>
      <c r="D18" s="129"/>
      <c r="E18" s="8"/>
    </row>
    <row r="19" spans="1:5" x14ac:dyDescent="0.35">
      <c r="A19" s="8" t="s">
        <v>621</v>
      </c>
      <c r="B19" s="8" t="s">
        <v>546</v>
      </c>
      <c r="C19" s="8" t="s">
        <v>547</v>
      </c>
      <c r="D19" s="129"/>
      <c r="E19" s="8"/>
    </row>
    <row r="20" spans="1:5" x14ac:dyDescent="0.35">
      <c r="A20" s="8"/>
      <c r="B20" s="8"/>
      <c r="C20" s="8" t="s">
        <v>548</v>
      </c>
      <c r="D20" s="129"/>
      <c r="E20" s="8"/>
    </row>
    <row r="21" spans="1:5" x14ac:dyDescent="0.35">
      <c r="A21" s="8"/>
      <c r="B21" s="8"/>
      <c r="C21" s="8" t="s">
        <v>549</v>
      </c>
      <c r="D21" s="129"/>
      <c r="E21" s="8"/>
    </row>
    <row r="22" spans="1:5" x14ac:dyDescent="0.35">
      <c r="A22" s="8"/>
      <c r="B22" s="8"/>
      <c r="C22" s="8" t="s">
        <v>550</v>
      </c>
      <c r="D22" s="129"/>
      <c r="E22" s="8"/>
    </row>
    <row r="23" spans="1:5" x14ac:dyDescent="0.35">
      <c r="A23" s="8"/>
      <c r="B23" s="8"/>
      <c r="C23" s="8" t="s">
        <v>551</v>
      </c>
      <c r="D23" s="129"/>
      <c r="E23" s="8"/>
    </row>
    <row r="24" spans="1:5" x14ac:dyDescent="0.35">
      <c r="A24" s="8"/>
      <c r="B24" s="8"/>
      <c r="C24" s="8" t="s">
        <v>552</v>
      </c>
      <c r="D24" s="129"/>
      <c r="E24" s="8"/>
    </row>
    <row r="25" spans="1:5" x14ac:dyDescent="0.35">
      <c r="A25" s="8"/>
      <c r="B25" s="8"/>
      <c r="C25" s="8" t="s">
        <v>553</v>
      </c>
      <c r="D25" s="129"/>
      <c r="E25" s="8"/>
    </row>
    <row r="26" spans="1:5" x14ac:dyDescent="0.35">
      <c r="A26" s="8"/>
      <c r="B26" s="8"/>
      <c r="C26" s="8" t="s">
        <v>554</v>
      </c>
      <c r="D26" s="129"/>
      <c r="E26" s="8"/>
    </row>
    <row r="27" spans="1:5" x14ac:dyDescent="0.35">
      <c r="A27" s="8" t="s">
        <v>622</v>
      </c>
      <c r="B27" s="20" t="s">
        <v>572</v>
      </c>
      <c r="C27" s="8" t="s">
        <v>575</v>
      </c>
      <c r="D27" s="129"/>
      <c r="E27" s="8"/>
    </row>
    <row r="28" spans="1:5" x14ac:dyDescent="0.35">
      <c r="A28" s="8"/>
      <c r="B28" s="8"/>
      <c r="C28" s="8" t="s">
        <v>576</v>
      </c>
      <c r="D28" s="129"/>
      <c r="E28" s="8"/>
    </row>
    <row r="29" spans="1:5" x14ac:dyDescent="0.35">
      <c r="A29" s="8"/>
      <c r="B29" s="8"/>
      <c r="C29" s="8" t="s">
        <v>573</v>
      </c>
      <c r="D29" s="129"/>
      <c r="E29" s="8"/>
    </row>
    <row r="30" spans="1:5" x14ac:dyDescent="0.35">
      <c r="A30" s="8" t="s">
        <v>623</v>
      </c>
      <c r="B30" s="8" t="s">
        <v>579</v>
      </c>
      <c r="C30" s="8" t="s">
        <v>581</v>
      </c>
      <c r="D30" s="129"/>
      <c r="E30" s="8"/>
    </row>
    <row r="31" spans="1:5" x14ac:dyDescent="0.35">
      <c r="A31" s="8"/>
      <c r="B31" s="8"/>
      <c r="C31" s="8" t="s">
        <v>580</v>
      </c>
      <c r="D31" s="136"/>
      <c r="E31" s="8"/>
    </row>
    <row r="32" spans="1:5" x14ac:dyDescent="0.35">
      <c r="A32" s="8" t="s">
        <v>624</v>
      </c>
      <c r="B32" s="8" t="s">
        <v>586</v>
      </c>
      <c r="C32" s="8" t="s">
        <v>587</v>
      </c>
      <c r="D32" s="129"/>
      <c r="E32" s="8"/>
    </row>
    <row r="33" spans="1:5" x14ac:dyDescent="0.35">
      <c r="A33" s="8"/>
      <c r="B33" s="8"/>
      <c r="C33" s="8" t="s">
        <v>588</v>
      </c>
      <c r="D33" s="129"/>
      <c r="E33" s="8"/>
    </row>
    <row r="34" spans="1:5" x14ac:dyDescent="0.35">
      <c r="A34" s="8"/>
      <c r="B34" s="8"/>
      <c r="C34" s="8" t="s">
        <v>589</v>
      </c>
      <c r="D34" s="129"/>
      <c r="E34" s="8"/>
    </row>
    <row r="35" spans="1:5" x14ac:dyDescent="0.35">
      <c r="A35" s="8"/>
      <c r="B35" s="8"/>
      <c r="C35" s="8" t="s">
        <v>590</v>
      </c>
      <c r="D35" s="129"/>
      <c r="E35" s="8"/>
    </row>
    <row r="36" spans="1:5" x14ac:dyDescent="0.35">
      <c r="A36" s="8"/>
      <c r="B36" s="8"/>
      <c r="C36" s="8" t="s">
        <v>591</v>
      </c>
      <c r="D36" s="129"/>
      <c r="E36" s="8"/>
    </row>
    <row r="37" spans="1:5" x14ac:dyDescent="0.35">
      <c r="A37" s="8" t="s">
        <v>625</v>
      </c>
      <c r="B37" s="8" t="s">
        <v>598</v>
      </c>
      <c r="C37" s="8" t="s">
        <v>599</v>
      </c>
      <c r="D37" s="129"/>
      <c r="E37" s="8"/>
    </row>
    <row r="38" spans="1:5" x14ac:dyDescent="0.35">
      <c r="A38" s="8"/>
      <c r="B38" s="8"/>
      <c r="C38" s="8" t="s">
        <v>600</v>
      </c>
      <c r="D38" s="136"/>
      <c r="E38" s="8"/>
    </row>
  </sheetData>
  <sheetProtection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F6FFBF18-B274-468E-8A9C-B0E33E0BEE39}">
          <x14:formula1>
            <xm:f>LU!$C$6:$C$9</xm:f>
          </x14:formula1>
          <xm:sqref>D8</xm:sqref>
        </x14:dataValidation>
        <x14:dataValidation type="list" allowBlank="1" showInputMessage="1" showErrorMessage="1" xr:uid="{D94C2CA7-F0D7-43B8-8626-EA3BE13CCBF6}">
          <x14:formula1>
            <xm:f>LU!$C$10:$C$11</xm:f>
          </x14:formula1>
          <xm:sqref>D7</xm:sqref>
        </x14:dataValidation>
        <x14:dataValidation type="list" allowBlank="1" showInputMessage="1" showErrorMessage="1" xr:uid="{C6DD5B4E-3E24-4C76-99EF-131ED0FD84CF}">
          <x14:formula1>
            <xm:f>LU!$C$12:$C$13</xm:f>
          </x14:formula1>
          <xm:sqref>D6</xm:sqref>
        </x14:dataValidation>
        <x14:dataValidation type="list" allowBlank="1" showInputMessage="1" showErrorMessage="1" xr:uid="{867B845D-BD85-4994-893A-ED743E7CA8BA}">
          <x14:formula1>
            <xm:f>LU!$C$14:$C$21</xm:f>
          </x14:formula1>
          <xm:sqref>D5</xm:sqref>
        </x14:dataValidation>
        <x14:dataValidation type="list" allowBlank="1" showInputMessage="1" showErrorMessage="1" xr:uid="{855E0865-5DF0-4301-8F25-0A032CDF65A6}">
          <x14:formula1>
            <xm:f>LU!$C$22:$C$23</xm:f>
          </x14:formula1>
          <xm:sqref>D4:D5</xm:sqref>
        </x14:dataValidation>
        <x14:dataValidation type="list" allowBlank="1" showInputMessage="1" showErrorMessage="1" xr:uid="{19863429-2A98-43D4-B624-3B7D60C3B546}">
          <x14:formula1>
            <xm:f>LU!$C$24:$C$25</xm:f>
          </x14:formula1>
          <xm:sqref>D9</xm:sqref>
        </x14:dataValidation>
        <x14:dataValidation type="list" allowBlank="1" showInputMessage="1" showErrorMessage="1" xr:uid="{6D2F026D-6627-46F0-A9ED-3BE235901B8D}">
          <x14:formula1>
            <xm:f>LU!$C$26:$C$27</xm:f>
          </x14:formula1>
          <xm:sqref>D10</xm:sqref>
        </x14:dataValidation>
        <x14:dataValidation type="list" allowBlank="1" showInputMessage="1" showErrorMessage="1" xr:uid="{F21EE20D-F963-4020-B5ED-690C088D39C9}">
          <x14:formula1>
            <xm:f>LU!$C$44:$C$45</xm:f>
          </x14:formula1>
          <xm:sqref>D13</xm:sqref>
        </x14:dataValidation>
        <x14:dataValidation type="list" allowBlank="1" showInputMessage="1" showErrorMessage="1" xr:uid="{48476C01-C6CD-451D-B3A6-AD95BD21124B}">
          <x14:formula1>
            <xm:f>LU!$C$46:$C$47</xm:f>
          </x14:formula1>
          <xm:sqref>D14</xm:sqref>
        </x14:dataValidation>
        <x14:dataValidation type="list" allowBlank="1" showInputMessage="1" showErrorMessage="1" xr:uid="{5C96C8A3-292A-48D3-BBD5-ED51B9C3E436}">
          <x14:formula1>
            <xm:f>LU!$C$48:$C$55</xm:f>
          </x14:formula1>
          <xm:sqref>D15</xm:sqref>
        </x14:dataValidation>
        <x14:dataValidation type="list" allowBlank="1" showInputMessage="1" showErrorMessage="1" xr:uid="{DF59F461-4E3B-4DB1-B876-5035618556B8}">
          <x14:formula1>
            <xm:f>LU!$C$56:$C$57</xm:f>
          </x14:formula1>
          <xm:sqref>D16</xm:sqref>
        </x14:dataValidation>
        <x14:dataValidation type="list" allowBlank="1" showInputMessage="1" showErrorMessage="1" xr:uid="{B6158D4D-BA4E-4163-AF0E-264ACDBB41C5}">
          <x14:formula1>
            <xm:f>LU!$C$58:$C$59</xm:f>
          </x14:formula1>
          <xm:sqref>D17</xm:sqref>
        </x14:dataValidation>
        <x14:dataValidation type="list" allowBlank="1" showInputMessage="1" showErrorMessage="1" xr:uid="{BFC66CDD-F40F-4E87-840F-4019876B64FE}">
          <x14:formula1>
            <xm:f>LU!$C$60:$C$61</xm:f>
          </x14:formula1>
          <xm:sqref>D18</xm:sqref>
        </x14:dataValidation>
        <x14:dataValidation type="list" allowBlank="1" showInputMessage="1" showErrorMessage="1" xr:uid="{19FC35FB-A1A6-4ACB-A9A8-33A071D158EC}">
          <x14:formula1>
            <xm:f>LU!$C$62:$C$63</xm:f>
          </x14:formula1>
          <xm:sqref>D19</xm:sqref>
        </x14:dataValidation>
        <x14:dataValidation type="list" allowBlank="1" showInputMessage="1" showErrorMessage="1" xr:uid="{B3D2539A-AA9D-4C87-8A17-F1AB7244D89B}">
          <x14:formula1>
            <xm:f>LU!$C$64:$C$65</xm:f>
          </x14:formula1>
          <xm:sqref>D20</xm:sqref>
        </x14:dataValidation>
        <x14:dataValidation type="list" allowBlank="1" showInputMessage="1" showErrorMessage="1" xr:uid="{77433851-F25A-4D24-825B-D343281ADC7B}">
          <x14:formula1>
            <xm:f>LU!$C$66:$C$67</xm:f>
          </x14:formula1>
          <xm:sqref>D21</xm:sqref>
        </x14:dataValidation>
        <x14:dataValidation type="list" allowBlank="1" showInputMessage="1" showErrorMessage="1" xr:uid="{53C7A1A2-6F2F-48B5-A989-C6A460E86F29}">
          <x14:formula1>
            <xm:f>LU!$C$68:$C$69</xm:f>
          </x14:formula1>
          <xm:sqref>D22</xm:sqref>
        </x14:dataValidation>
        <x14:dataValidation type="list" allowBlank="1" showInputMessage="1" showErrorMessage="1" xr:uid="{5D6EA71B-CA80-4593-8D02-5CA483DDE48E}">
          <x14:formula1>
            <xm:f>LU!$C$70:$C$71</xm:f>
          </x14:formula1>
          <xm:sqref>D23</xm:sqref>
        </x14:dataValidation>
        <x14:dataValidation type="list" allowBlank="1" showInputMessage="1" showErrorMessage="1" xr:uid="{F38A6235-F85B-4D70-8EC2-8340588F4E14}">
          <x14:formula1>
            <xm:f>LU!$C$72:$C$73</xm:f>
          </x14:formula1>
          <xm:sqref>D24</xm:sqref>
        </x14:dataValidation>
        <x14:dataValidation type="list" allowBlank="1" showInputMessage="1" showErrorMessage="1" xr:uid="{26409893-A3B8-41AE-A88F-A3D2C08371E7}">
          <x14:formula1>
            <xm:f>LU!$C$74:$C$75</xm:f>
          </x14:formula1>
          <xm:sqref>D25</xm:sqref>
        </x14:dataValidation>
        <x14:dataValidation type="list" allowBlank="1" showInputMessage="1" showErrorMessage="1" xr:uid="{FB0B4604-C7C6-4C2C-B119-40F946E16A5D}">
          <x14:formula1>
            <xm:f>LU!$C$76:$C$77</xm:f>
          </x14:formula1>
          <xm:sqref>D26</xm:sqref>
        </x14:dataValidation>
        <x14:dataValidation type="list" allowBlank="1" showInputMessage="1" showErrorMessage="1" xr:uid="{8FEE4A77-0725-4023-99CA-6A26BC914DC1}">
          <x14:formula1>
            <xm:f>LU!$C$78:$C$81</xm:f>
          </x14:formula1>
          <xm:sqref>D27</xm:sqref>
        </x14:dataValidation>
        <x14:dataValidation type="list" allowBlank="1" showInputMessage="1" showErrorMessage="1" xr:uid="{C1726B2B-95C6-4B92-BB30-700BD4F34A4C}">
          <x14:formula1>
            <xm:f>LU!$C$82:$C$89</xm:f>
          </x14:formula1>
          <xm:sqref>D28</xm:sqref>
        </x14:dataValidation>
        <x14:dataValidation type="list" allowBlank="1" showInputMessage="1" showErrorMessage="1" xr:uid="{A0A603C4-DFDD-436C-9A10-8200B9ED0BAB}">
          <x14:formula1>
            <xm:f>LU!$C$90:$C$97</xm:f>
          </x14:formula1>
          <xm:sqref>D29</xm:sqref>
        </x14:dataValidation>
        <x14:dataValidation type="list" allowBlank="1" showInputMessage="1" showErrorMessage="1" xr:uid="{D23C3ADE-F0CD-4AD7-B3EA-F7A979FE87C8}">
          <x14:formula1>
            <xm:f>IF($D$14="Disabled (default)",LU!$C$36:$C$43,LU!$E$36:$E$43)</xm:f>
          </x14:formula1>
          <xm:sqref>D12</xm:sqref>
        </x14:dataValidation>
        <x14:dataValidation type="list" allowBlank="1" showInputMessage="1" showErrorMessage="1" xr:uid="{3449E17F-61B8-4CA3-941A-FA2B19C3C229}">
          <x14:formula1>
            <xm:f>LU!$C$98:$C$99</xm:f>
          </x14:formula1>
          <xm:sqref>D30</xm:sqref>
        </x14:dataValidation>
        <x14:dataValidation type="list" allowBlank="1" showInputMessage="1" showErrorMessage="1" xr:uid="{DB1D3EB1-43E8-40DB-B615-4CE993EF9872}">
          <x14:formula1>
            <xm:f>LU!$D$100:$D$150</xm:f>
          </x14:formula1>
          <xm:sqref>D31</xm:sqref>
        </x14:dataValidation>
        <x14:dataValidation type="list" allowBlank="1" showInputMessage="1" showErrorMessage="1" xr:uid="{B11FC6CC-3F07-4308-B5F0-4EAFAADBB67D}">
          <x14:formula1>
            <xm:f>LU!$C$152:$C$153</xm:f>
          </x14:formula1>
          <xm:sqref>D33</xm:sqref>
        </x14:dataValidation>
        <x14:dataValidation type="list" allowBlank="1" showInputMessage="1" showErrorMessage="1" xr:uid="{F07334BF-575A-4283-9BED-D732B2B37698}">
          <x14:formula1>
            <xm:f>LU!$C$154:$C$155</xm:f>
          </x14:formula1>
          <xm:sqref>D34</xm:sqref>
        </x14:dataValidation>
        <x14:dataValidation type="list" allowBlank="1" showInputMessage="1" showErrorMessage="1" xr:uid="{6F28AA1D-A146-4C14-BAE2-5F1AF97BFB36}">
          <x14:formula1>
            <xm:f>LU!$C$156:$C$157</xm:f>
          </x14:formula1>
          <xm:sqref>D35</xm:sqref>
        </x14:dataValidation>
        <x14:dataValidation type="list" allowBlank="1" showInputMessage="1" showErrorMessage="1" xr:uid="{ABAA88A2-76BE-4F21-9B3D-28CCD883E46D}">
          <x14:formula1>
            <xm:f>LU!$C$158:$C$165</xm:f>
          </x14:formula1>
          <xm:sqref>D36</xm:sqref>
        </x14:dataValidation>
        <x14:dataValidation type="list" allowBlank="1" showInputMessage="1" showErrorMessage="1" xr:uid="{E7C88CDA-E280-4F8B-8835-777A63ACA325}">
          <x14:formula1>
            <xm:f>LU!$C$166:$C$167</xm:f>
          </x14:formula1>
          <xm:sqref>D37</xm:sqref>
        </x14:dataValidation>
        <x14:dataValidation type="list" allowBlank="1" showInputMessage="1" showErrorMessage="1" xr:uid="{571CA94D-2D1B-4106-A7D8-6666CFEDC5C0}">
          <x14:formula1>
            <xm:f>LU!$D$168:$D$218</xm:f>
          </x14:formula1>
          <xm:sqref>D38</xm:sqref>
        </x14:dataValidation>
        <x14:dataValidation type="list" allowBlank="1" showInputMessage="1" showErrorMessage="1" xr:uid="{0743B14D-5839-4D15-8F45-C4A7BBA88288}">
          <x14:formula1>
            <xm:f>IF($D$10="WL Set A (default)",LU!$C$28:$C$35,LU!$E$28:$E$35)</xm:f>
          </x14:formula1>
          <xm:sqref>D11</xm:sqref>
        </x14:dataValidation>
        <x14:dataValidation type="list" allowBlank="1" showInputMessage="1" showErrorMessage="1" xr:uid="{C69CDC38-D3ED-4A6D-A6CD-D0FC8EEF99A9}">
          <x14:formula1>
            <xm:f>LU!$C$2:$C$5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A3A9-BF43-45BC-B6DF-CB42D4BFC5B5}">
  <dimension ref="A1:E122"/>
  <sheetViews>
    <sheetView topLeftCell="A17" zoomScaleNormal="100" workbookViewId="0">
      <selection activeCell="D26" sqref="D26"/>
    </sheetView>
  </sheetViews>
  <sheetFormatPr defaultRowHeight="14.5" x14ac:dyDescent="0.35"/>
  <cols>
    <col min="1" max="1" width="22.81640625" customWidth="1"/>
    <col min="2" max="2" width="22.54296875" customWidth="1"/>
    <col min="3" max="3" width="25.453125" customWidth="1"/>
    <col min="4" max="4" width="28.1796875" style="10" customWidth="1"/>
    <col min="5" max="5" width="34.7265625" customWidth="1"/>
  </cols>
  <sheetData>
    <row r="1" spans="1:5" x14ac:dyDescent="0.35">
      <c r="D1" s="16"/>
    </row>
    <row r="2" spans="1:5" x14ac:dyDescent="0.35">
      <c r="A2" s="144" t="s">
        <v>467</v>
      </c>
      <c r="B2" s="145"/>
      <c r="C2" s="145"/>
      <c r="D2" s="145"/>
      <c r="E2" s="145"/>
    </row>
    <row r="3" spans="1:5" x14ac:dyDescent="0.35">
      <c r="A3" s="64"/>
      <c r="B3" s="65"/>
      <c r="C3" s="63" t="s">
        <v>465</v>
      </c>
      <c r="D3" s="65" t="str">
        <f>IF(Parameters!B6=0,"DDR4", "LPDDR4")</f>
        <v>DDR4</v>
      </c>
      <c r="E3" s="65"/>
    </row>
    <row r="4" spans="1:5" x14ac:dyDescent="0.35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" customHeight="1" x14ac:dyDescent="0.35">
      <c r="A5" s="3" t="s">
        <v>57</v>
      </c>
      <c r="B5" s="3" t="s">
        <v>3</v>
      </c>
      <c r="C5" s="3" t="s">
        <v>4</v>
      </c>
      <c r="D5" s="140" t="str">
        <f>Registers_Calculation!H153</f>
        <v>00000000</v>
      </c>
      <c r="E5" s="44" t="s">
        <v>436</v>
      </c>
    </row>
    <row r="6" spans="1:5" x14ac:dyDescent="0.35">
      <c r="A6" s="3" t="s">
        <v>58</v>
      </c>
      <c r="B6" s="3" t="s">
        <v>5</v>
      </c>
      <c r="C6" s="3" t="s">
        <v>6</v>
      </c>
      <c r="D6" s="140" t="str">
        <f>Registers_Calculation!H160</f>
        <v>00000000</v>
      </c>
      <c r="E6" s="1"/>
    </row>
    <row r="7" spans="1:5" x14ac:dyDescent="0.35">
      <c r="A7" s="3" t="s">
        <v>59</v>
      </c>
      <c r="B7" s="3" t="s">
        <v>7</v>
      </c>
      <c r="C7" s="3" t="s">
        <v>8</v>
      </c>
      <c r="D7" s="140" t="str">
        <f>Registers_Calculation!H7</f>
        <v>00000000</v>
      </c>
      <c r="E7" s="1"/>
    </row>
    <row r="8" spans="1:5" x14ac:dyDescent="0.35">
      <c r="A8" s="3" t="s">
        <v>60</v>
      </c>
      <c r="B8" s="3" t="s">
        <v>9</v>
      </c>
      <c r="C8" s="3" t="s">
        <v>10</v>
      </c>
      <c r="D8" s="140" t="str">
        <f>Registers_Calculation!H16</f>
        <v>00000200</v>
      </c>
      <c r="E8" s="1"/>
    </row>
    <row r="9" spans="1:5" x14ac:dyDescent="0.35">
      <c r="A9" s="3" t="s">
        <v>61</v>
      </c>
      <c r="B9" s="3" t="s">
        <v>11</v>
      </c>
      <c r="C9" s="3" t="s">
        <v>12</v>
      </c>
      <c r="D9" s="141" t="str">
        <f>Registers_Calculation!H24</f>
        <v>00000104</v>
      </c>
      <c r="E9" s="1"/>
    </row>
    <row r="10" spans="1:5" x14ac:dyDescent="0.35">
      <c r="A10" s="3" t="s">
        <v>62</v>
      </c>
      <c r="B10" s="3" t="s">
        <v>13</v>
      </c>
      <c r="C10" s="3" t="s">
        <v>14</v>
      </c>
      <c r="D10" s="141" t="str">
        <f>Registers_Calculation!H33</f>
        <v>00000000</v>
      </c>
      <c r="E10" s="1"/>
    </row>
    <row r="11" spans="1:5" x14ac:dyDescent="0.35">
      <c r="A11" s="3" t="s">
        <v>63</v>
      </c>
      <c r="B11" s="3" t="s">
        <v>15</v>
      </c>
      <c r="C11" s="3" t="s">
        <v>16</v>
      </c>
      <c r="D11" s="141" t="str">
        <f>Registers_Calculation!H40</f>
        <v>00000001</v>
      </c>
      <c r="E11" s="1"/>
    </row>
    <row r="12" spans="1:5" x14ac:dyDescent="0.35">
      <c r="A12" s="3" t="s">
        <v>64</v>
      </c>
      <c r="B12" s="3" t="s">
        <v>17</v>
      </c>
      <c r="C12" s="3" t="s">
        <v>18</v>
      </c>
      <c r="D12" s="140" t="str">
        <f>Registers_Calculation!H49</f>
        <v>000B0100</v>
      </c>
      <c r="E12" s="1"/>
    </row>
    <row r="13" spans="1:5" x14ac:dyDescent="0.35">
      <c r="A13" s="3" t="s">
        <v>65</v>
      </c>
      <c r="B13" s="3" t="s">
        <v>19</v>
      </c>
      <c r="C13" s="3" t="s">
        <v>20</v>
      </c>
      <c r="D13" s="140" t="str">
        <f>Registers_Calculation!H58</f>
        <v>00000000</v>
      </c>
      <c r="E13" s="9" t="s">
        <v>375</v>
      </c>
    </row>
    <row r="14" spans="1:5" x14ac:dyDescent="0.35">
      <c r="A14" s="3" t="s">
        <v>66</v>
      </c>
      <c r="B14" s="3" t="s">
        <v>21</v>
      </c>
      <c r="C14" s="3" t="s">
        <v>22</v>
      </c>
      <c r="D14" s="140" t="str">
        <f>Registers_Calculation!H64</f>
        <v>00000B00</v>
      </c>
      <c r="E14" s="9" t="s">
        <v>375</v>
      </c>
    </row>
    <row r="15" spans="1:5" x14ac:dyDescent="0.35">
      <c r="A15" s="12" t="s">
        <v>67</v>
      </c>
      <c r="B15" s="12" t="s">
        <v>23</v>
      </c>
      <c r="C15" s="12" t="s">
        <v>24</v>
      </c>
      <c r="D15" s="140" t="str">
        <f>Registers_Calculation!H72</f>
        <v>01010101</v>
      </c>
      <c r="E15" s="9" t="s">
        <v>164</v>
      </c>
    </row>
    <row r="16" spans="1:5" x14ac:dyDescent="0.35">
      <c r="A16" s="12" t="s">
        <v>68</v>
      </c>
      <c r="B16" s="12" t="s">
        <v>25</v>
      </c>
      <c r="C16" s="12" t="s">
        <v>26</v>
      </c>
      <c r="D16" s="140" t="str">
        <f>Registers_Calculation!H82</f>
        <v>00000000</v>
      </c>
      <c r="E16" s="9" t="s">
        <v>164</v>
      </c>
    </row>
    <row r="17" spans="1:5" x14ac:dyDescent="0.35">
      <c r="A17" s="12" t="s">
        <v>69</v>
      </c>
      <c r="B17" s="12" t="s">
        <v>27</v>
      </c>
      <c r="C17" s="12" t="s">
        <v>28</v>
      </c>
      <c r="D17" s="140" t="str">
        <f>Registers_Calculation!H93</f>
        <v>00000000</v>
      </c>
      <c r="E17" s="9" t="s">
        <v>164</v>
      </c>
    </row>
    <row r="18" spans="1:5" x14ac:dyDescent="0.35">
      <c r="A18" s="12" t="s">
        <v>70</v>
      </c>
      <c r="B18" s="12" t="s">
        <v>29</v>
      </c>
      <c r="C18" s="12" t="s">
        <v>30</v>
      </c>
      <c r="D18" s="140" t="str">
        <f>Registers_Calculation!H101</f>
        <v>00010000</v>
      </c>
      <c r="E18" s="9" t="s">
        <v>164</v>
      </c>
    </row>
    <row r="19" spans="1:5" x14ac:dyDescent="0.35">
      <c r="A19" s="3" t="s">
        <v>71</v>
      </c>
      <c r="B19" s="3" t="s">
        <v>31</v>
      </c>
      <c r="C19" s="3" t="s">
        <v>32</v>
      </c>
      <c r="D19" s="140" t="str">
        <f>Registers_Calculation!H109</f>
        <v>00000000</v>
      </c>
      <c r="E19" s="1"/>
    </row>
    <row r="20" spans="1:5" x14ac:dyDescent="0.35">
      <c r="A20" s="3" t="s">
        <v>72</v>
      </c>
      <c r="B20" s="3" t="s">
        <v>33</v>
      </c>
      <c r="C20" s="3" t="s">
        <v>34</v>
      </c>
      <c r="D20" s="141" t="str">
        <f>Registers_Calculation!H117</f>
        <v>00000000</v>
      </c>
      <c r="E20" s="9" t="s">
        <v>375</v>
      </c>
    </row>
    <row r="21" spans="1:5" x14ac:dyDescent="0.35">
      <c r="A21" s="3" t="s">
        <v>73</v>
      </c>
      <c r="B21" s="3" t="s">
        <v>35</v>
      </c>
      <c r="C21" s="3" t="s">
        <v>36</v>
      </c>
      <c r="D21" s="140" t="str">
        <f>Registers_Calculation!H125</f>
        <v>00000000</v>
      </c>
      <c r="E21" s="9" t="s">
        <v>375</v>
      </c>
    </row>
    <row r="22" spans="1:5" x14ac:dyDescent="0.35">
      <c r="A22" s="60" t="s">
        <v>74</v>
      </c>
      <c r="B22" s="60" t="s">
        <v>37</v>
      </c>
      <c r="C22" s="60" t="s">
        <v>38</v>
      </c>
      <c r="D22" s="142"/>
      <c r="E22" s="61" t="s">
        <v>463</v>
      </c>
    </row>
    <row r="23" spans="1:5" x14ac:dyDescent="0.35">
      <c r="A23" s="12" t="s">
        <v>75</v>
      </c>
      <c r="B23" s="12" t="s">
        <v>39</v>
      </c>
      <c r="C23" s="12" t="s">
        <v>40</v>
      </c>
      <c r="D23" s="140" t="str">
        <f>Registers_Calculation!H140</f>
        <v>00000000</v>
      </c>
      <c r="E23" s="11" t="s">
        <v>184</v>
      </c>
    </row>
    <row r="24" spans="1:5" x14ac:dyDescent="0.35">
      <c r="A24" s="3" t="s">
        <v>76</v>
      </c>
      <c r="B24" s="3" t="s">
        <v>41</v>
      </c>
      <c r="C24" s="3" t="s">
        <v>42</v>
      </c>
      <c r="D24" s="140" t="str">
        <f>Registers_Calculation!H147</f>
        <v>00000000</v>
      </c>
      <c r="E24" s="9" t="s">
        <v>375</v>
      </c>
    </row>
    <row r="25" spans="1:5" x14ac:dyDescent="0.35">
      <c r="A25" s="3" t="s">
        <v>77</v>
      </c>
      <c r="B25" s="3" t="s">
        <v>43</v>
      </c>
      <c r="C25" s="3" t="s">
        <v>44</v>
      </c>
      <c r="D25" s="140" t="str">
        <f>Registers_Calculation!H166</f>
        <v>00000000</v>
      </c>
      <c r="E25" s="1"/>
    </row>
    <row r="26" spans="1:5" x14ac:dyDescent="0.35">
      <c r="A26" s="3" t="s">
        <v>78</v>
      </c>
      <c r="B26" s="3" t="s">
        <v>45</v>
      </c>
      <c r="C26" s="3" t="s">
        <v>46</v>
      </c>
      <c r="D26" s="140" t="str">
        <f>Registers_Calculation!H175</f>
        <v>00000000</v>
      </c>
      <c r="E26" s="1"/>
    </row>
    <row r="27" spans="1:5" x14ac:dyDescent="0.35">
      <c r="A27" s="3" t="s">
        <v>79</v>
      </c>
      <c r="B27" s="3" t="s">
        <v>47</v>
      </c>
      <c r="C27" s="3" t="s">
        <v>48</v>
      </c>
      <c r="D27" s="141" t="str">
        <f>Registers_Calculation!H181</f>
        <v>027FA007</v>
      </c>
      <c r="E27" s="1"/>
    </row>
    <row r="28" spans="1:5" x14ac:dyDescent="0.35">
      <c r="A28" s="3" t="s">
        <v>80</v>
      </c>
      <c r="B28" s="3" t="s">
        <v>49</v>
      </c>
      <c r="C28" s="3" t="s">
        <v>50</v>
      </c>
      <c r="D28" s="141" t="str">
        <f>Registers_Calculation!H191</f>
        <v>00050101</v>
      </c>
      <c r="E28" s="1"/>
    </row>
    <row r="29" spans="1:5" x14ac:dyDescent="0.35">
      <c r="A29" s="3" t="s">
        <v>81</v>
      </c>
      <c r="B29" s="3" t="s">
        <v>51</v>
      </c>
      <c r="C29" s="3" t="s">
        <v>52</v>
      </c>
      <c r="D29" s="141" t="str">
        <f>Registers_Calculation!H202</f>
        <v>00000000</v>
      </c>
      <c r="E29" s="1"/>
    </row>
    <row r="30" spans="1:5" x14ac:dyDescent="0.35">
      <c r="A30" s="3" t="s">
        <v>82</v>
      </c>
      <c r="B30" s="3" t="s">
        <v>53</v>
      </c>
      <c r="C30" s="3" t="s">
        <v>54</v>
      </c>
      <c r="D30" s="141" t="str">
        <f>Registers_Calculation!H212</f>
        <v>00007F67</v>
      </c>
      <c r="E30" s="1"/>
    </row>
    <row r="31" spans="1:5" ht="14.5" customHeight="1" x14ac:dyDescent="0.35">
      <c r="A31" s="3" t="s">
        <v>83</v>
      </c>
      <c r="B31" s="3" t="s">
        <v>55</v>
      </c>
      <c r="C31" s="3" t="s">
        <v>56</v>
      </c>
      <c r="D31" s="140" t="str">
        <f>IF(Parameters!B6=0,Registers_Calculation!H218,"00000000")</f>
        <v>00000000</v>
      </c>
      <c r="E31" s="43" t="s">
        <v>409</v>
      </c>
    </row>
    <row r="32" spans="1:5" x14ac:dyDescent="0.35">
      <c r="A32" s="3" t="s">
        <v>471</v>
      </c>
      <c r="B32" s="12" t="s">
        <v>478</v>
      </c>
      <c r="C32" s="12" t="s">
        <v>479</v>
      </c>
      <c r="D32" s="140" t="e">
        <f>Registers_Calculation!H223</f>
        <v>#N/A</v>
      </c>
      <c r="E32" s="1"/>
    </row>
    <row r="33" spans="1:5" x14ac:dyDescent="0.35">
      <c r="A33" s="3" t="s">
        <v>480</v>
      </c>
      <c r="B33" s="12" t="s">
        <v>481</v>
      </c>
      <c r="C33" s="12" t="s">
        <v>479</v>
      </c>
      <c r="D33" s="140" t="str">
        <f>Registers_Calculation!H229</f>
        <v>00010000</v>
      </c>
      <c r="E33" s="1"/>
    </row>
    <row r="34" spans="1:5" x14ac:dyDescent="0.35">
      <c r="A34" s="12" t="s">
        <v>488</v>
      </c>
      <c r="B34" s="12" t="s">
        <v>489</v>
      </c>
      <c r="C34" s="12" t="s">
        <v>479</v>
      </c>
      <c r="D34" s="140" t="e">
        <f>Registers_Calculation!E234</f>
        <v>#N/A</v>
      </c>
      <c r="E34" s="1"/>
    </row>
    <row r="35" spans="1:5" x14ac:dyDescent="0.35">
      <c r="A35" s="3" t="s">
        <v>543</v>
      </c>
      <c r="B35" s="12" t="s">
        <v>565</v>
      </c>
      <c r="C35" s="12" t="s">
        <v>479</v>
      </c>
      <c r="D35" s="140" t="e">
        <f>Registers_Calculation!E242</f>
        <v>#N/A</v>
      </c>
      <c r="E35" s="1"/>
    </row>
    <row r="36" spans="1:5" x14ac:dyDescent="0.35">
      <c r="A36" s="3" t="s">
        <v>566</v>
      </c>
      <c r="B36" s="12" t="s">
        <v>567</v>
      </c>
      <c r="C36" s="12" t="s">
        <v>479</v>
      </c>
      <c r="D36" s="140" t="str">
        <f>IF(Parameters!B6=0,Registers_Calculation!H239,"00000000")</f>
        <v>00010000</v>
      </c>
      <c r="E36" s="43" t="s">
        <v>409</v>
      </c>
    </row>
    <row r="37" spans="1:5" x14ac:dyDescent="0.35">
      <c r="A37" s="3" t="s">
        <v>568</v>
      </c>
      <c r="B37" s="12" t="s">
        <v>569</v>
      </c>
      <c r="C37" s="12" t="s">
        <v>479</v>
      </c>
      <c r="D37" s="140" t="e">
        <f>Registers_Calculation!E245</f>
        <v>#N/A</v>
      </c>
      <c r="E37" s="1"/>
    </row>
    <row r="38" spans="1:5" x14ac:dyDescent="0.35">
      <c r="A38" s="3" t="s">
        <v>570</v>
      </c>
      <c r="B38" s="12" t="s">
        <v>571</v>
      </c>
      <c r="C38" s="12" t="s">
        <v>479</v>
      </c>
      <c r="D38" s="140" t="e">
        <f>Registers_Calculation!E248</f>
        <v>#N/A</v>
      </c>
      <c r="E38" s="1"/>
    </row>
    <row r="39" spans="1:5" x14ac:dyDescent="0.35">
      <c r="A39" s="8" t="s">
        <v>808</v>
      </c>
      <c r="B39" s="12" t="s">
        <v>824</v>
      </c>
      <c r="C39" s="12" t="s">
        <v>825</v>
      </c>
      <c r="D39" s="140" t="str">
        <f>Registers_Calculation!H253</f>
        <v>001F1F1F</v>
      </c>
      <c r="E39" s="1"/>
    </row>
    <row r="40" spans="1:5" x14ac:dyDescent="0.35">
      <c r="A40" s="8" t="s">
        <v>809</v>
      </c>
      <c r="B40" s="12" t="s">
        <v>826</v>
      </c>
      <c r="C40" s="12" t="s">
        <v>825</v>
      </c>
      <c r="D40" s="140" t="str">
        <f>Registers_Calculation!H261</f>
        <v>003F3F3F</v>
      </c>
      <c r="E40" s="1"/>
    </row>
    <row r="41" spans="1:5" x14ac:dyDescent="0.35">
      <c r="A41" s="8" t="s">
        <v>814</v>
      </c>
      <c r="B41" s="12" t="s">
        <v>831</v>
      </c>
      <c r="C41" s="12" t="s">
        <v>825</v>
      </c>
      <c r="D41" s="140" t="e">
        <f>Registers_Calculation!H268</f>
        <v>#VALUE!</v>
      </c>
      <c r="E41" s="1"/>
    </row>
    <row r="42" spans="1:5" x14ac:dyDescent="0.35">
      <c r="A42" s="8" t="s">
        <v>815</v>
      </c>
      <c r="B42" s="12" t="s">
        <v>836</v>
      </c>
      <c r="C42" s="12" t="s">
        <v>825</v>
      </c>
      <c r="D42" s="140" t="e">
        <f>Registers_Calculation!H277</f>
        <v>#VALUE!</v>
      </c>
      <c r="E42" s="1"/>
    </row>
    <row r="43" spans="1:5" x14ac:dyDescent="0.35">
      <c r="A43" s="8" t="s">
        <v>816</v>
      </c>
      <c r="B43" s="12" t="s">
        <v>837</v>
      </c>
      <c r="C43" s="12" t="s">
        <v>825</v>
      </c>
      <c r="D43" s="140" t="str">
        <f>Registers_Calculation!H286</f>
        <v>00001F1F</v>
      </c>
      <c r="E43" s="1"/>
    </row>
    <row r="44" spans="1:5" x14ac:dyDescent="0.35">
      <c r="A44" s="8" t="s">
        <v>817</v>
      </c>
      <c r="B44" s="12" t="s">
        <v>842</v>
      </c>
      <c r="C44" s="12" t="s">
        <v>825</v>
      </c>
      <c r="D44" s="140" t="e">
        <f>Registers_Calculation!H293</f>
        <v>#NUM!</v>
      </c>
      <c r="E44" s="1"/>
    </row>
    <row r="45" spans="1:5" x14ac:dyDescent="0.35">
      <c r="A45" s="8" t="s">
        <v>818</v>
      </c>
      <c r="B45" s="12" t="s">
        <v>854</v>
      </c>
      <c r="C45" s="12" t="s">
        <v>825</v>
      </c>
      <c r="D45" s="140" t="str">
        <f>Registers_Calculation!H302</f>
        <v>0F0F0F0F</v>
      </c>
      <c r="E45" s="1"/>
    </row>
    <row r="46" spans="1:5" x14ac:dyDescent="0.35">
      <c r="A46" s="8" t="s">
        <v>819</v>
      </c>
      <c r="B46" s="12" t="s">
        <v>855</v>
      </c>
      <c r="C46" s="12" t="s">
        <v>825</v>
      </c>
      <c r="D46" s="140" t="str">
        <f>Registers_Calculation!H313</f>
        <v>00000F0F</v>
      </c>
      <c r="E46" s="1"/>
    </row>
    <row r="47" spans="1:5" x14ac:dyDescent="0.35">
      <c r="A47" s="8" t="s">
        <v>820</v>
      </c>
      <c r="B47" s="12" t="s">
        <v>861</v>
      </c>
      <c r="C47" s="12" t="s">
        <v>825</v>
      </c>
      <c r="D47" s="140" t="str">
        <f>Registers_Calculation!H319</f>
        <v>00003F3F</v>
      </c>
      <c r="E47" s="1"/>
    </row>
    <row r="48" spans="1:5" x14ac:dyDescent="0.35">
      <c r="A48" s="8" t="s">
        <v>821</v>
      </c>
      <c r="B48" s="12" t="s">
        <v>866</v>
      </c>
      <c r="C48" s="12" t="s">
        <v>825</v>
      </c>
      <c r="D48" s="140" t="e">
        <f>Registers_Calculation!H325</f>
        <v>#NUM!</v>
      </c>
      <c r="E48" s="1"/>
    </row>
    <row r="49" spans="1:5" x14ac:dyDescent="0.35">
      <c r="A49" s="8" t="s">
        <v>822</v>
      </c>
      <c r="B49" s="12" t="s">
        <v>871</v>
      </c>
      <c r="C49" s="12" t="s">
        <v>825</v>
      </c>
      <c r="D49" s="140" t="e">
        <f>Registers_Calculation!H334</f>
        <v>#NUM!</v>
      </c>
      <c r="E49" s="1"/>
    </row>
    <row r="50" spans="1:5" x14ac:dyDescent="0.35">
      <c r="A50" s="8" t="s">
        <v>823</v>
      </c>
      <c r="B50" s="12" t="s">
        <v>875</v>
      </c>
      <c r="C50" s="12" t="s">
        <v>825</v>
      </c>
      <c r="D50" s="140" t="e">
        <f>Registers_Calculation!H343</f>
        <v>#NUM!</v>
      </c>
      <c r="E50" s="1"/>
    </row>
    <row r="51" spans="1:5" x14ac:dyDescent="0.35">
      <c r="A51" s="2"/>
      <c r="B51" s="2"/>
      <c r="C51" s="2"/>
    </row>
    <row r="52" spans="1:5" x14ac:dyDescent="0.35">
      <c r="A52" s="2"/>
      <c r="B52" s="2"/>
      <c r="C52" s="2"/>
    </row>
    <row r="53" spans="1:5" x14ac:dyDescent="0.35">
      <c r="A53" s="2"/>
      <c r="B53" s="2"/>
      <c r="C53" s="2"/>
    </row>
    <row r="54" spans="1:5" x14ac:dyDescent="0.35">
      <c r="A54" s="2"/>
      <c r="B54" s="2"/>
      <c r="C54" s="2"/>
    </row>
    <row r="55" spans="1:5" x14ac:dyDescent="0.35">
      <c r="A55" s="2"/>
      <c r="B55" s="2"/>
      <c r="C55" s="2"/>
    </row>
    <row r="56" spans="1:5" x14ac:dyDescent="0.35">
      <c r="A56" s="2"/>
      <c r="B56" s="2"/>
      <c r="C56" s="2"/>
    </row>
    <row r="57" spans="1:5" x14ac:dyDescent="0.35">
      <c r="A57" s="2"/>
      <c r="B57" s="2"/>
      <c r="C57" s="2"/>
    </row>
    <row r="58" spans="1:5" x14ac:dyDescent="0.35">
      <c r="A58" s="2"/>
      <c r="B58" s="2"/>
      <c r="C58" s="2"/>
    </row>
    <row r="59" spans="1:5" x14ac:dyDescent="0.35">
      <c r="A59" s="2"/>
      <c r="B59" s="2"/>
      <c r="C59" s="2"/>
    </row>
    <row r="60" spans="1:5" x14ac:dyDescent="0.35">
      <c r="A60" s="2"/>
      <c r="B60" s="2"/>
      <c r="C60" s="2"/>
    </row>
    <row r="61" spans="1:5" x14ac:dyDescent="0.35">
      <c r="A61" s="2"/>
      <c r="B61" s="2"/>
      <c r="C61" s="2"/>
    </row>
    <row r="62" spans="1:5" x14ac:dyDescent="0.35">
      <c r="A62" s="143"/>
      <c r="B62" s="143"/>
      <c r="C62" s="143"/>
    </row>
    <row r="63" spans="1:5" x14ac:dyDescent="0.35">
      <c r="A63" s="143"/>
      <c r="B63" s="143"/>
      <c r="C63" s="143"/>
    </row>
    <row r="64" spans="1:5" x14ac:dyDescent="0.35">
      <c r="A64" s="2"/>
      <c r="B64" s="2"/>
      <c r="C64" s="2"/>
    </row>
    <row r="65" spans="1:3" x14ac:dyDescent="0.35">
      <c r="A65" s="2"/>
      <c r="B65" s="2"/>
      <c r="C65" s="2"/>
    </row>
    <row r="66" spans="1:3" x14ac:dyDescent="0.35">
      <c r="A66" s="2"/>
      <c r="B66" s="2"/>
      <c r="C66" s="2"/>
    </row>
    <row r="67" spans="1:3" x14ac:dyDescent="0.35">
      <c r="A67" s="2"/>
      <c r="B67" s="2"/>
      <c r="C67" s="2"/>
    </row>
    <row r="68" spans="1:3" x14ac:dyDescent="0.35">
      <c r="A68" s="2"/>
      <c r="B68" s="2"/>
      <c r="C68" s="2"/>
    </row>
    <row r="69" spans="1:3" x14ac:dyDescent="0.35">
      <c r="A69" s="2"/>
      <c r="B69" s="2"/>
      <c r="C69" s="2"/>
    </row>
    <row r="70" spans="1:3" x14ac:dyDescent="0.35">
      <c r="A70" s="2"/>
      <c r="B70" s="2"/>
      <c r="C70" s="2"/>
    </row>
    <row r="71" spans="1:3" x14ac:dyDescent="0.35">
      <c r="A71" s="2"/>
      <c r="B71" s="2"/>
      <c r="C71" s="2"/>
    </row>
    <row r="72" spans="1:3" x14ac:dyDescent="0.35">
      <c r="A72" s="2"/>
      <c r="B72" s="2"/>
      <c r="C72" s="2"/>
    </row>
    <row r="73" spans="1:3" x14ac:dyDescent="0.35">
      <c r="A73" s="2"/>
      <c r="B73" s="2"/>
      <c r="C73" s="2"/>
    </row>
    <row r="74" spans="1:3" x14ac:dyDescent="0.35">
      <c r="A74" s="2"/>
      <c r="B74" s="2"/>
      <c r="C74" s="2"/>
    </row>
    <row r="75" spans="1:3" x14ac:dyDescent="0.35">
      <c r="A75" s="2"/>
      <c r="B75" s="2"/>
      <c r="C75" s="2"/>
    </row>
    <row r="76" spans="1:3" x14ac:dyDescent="0.35">
      <c r="A76" s="2"/>
      <c r="B76" s="2"/>
      <c r="C76" s="2"/>
    </row>
    <row r="77" spans="1:3" x14ac:dyDescent="0.35">
      <c r="A77" s="2"/>
      <c r="B77" s="2"/>
      <c r="C77" s="2"/>
    </row>
    <row r="78" spans="1:3" x14ac:dyDescent="0.35">
      <c r="A78" s="2"/>
      <c r="B78" s="2"/>
      <c r="C78" s="2"/>
    </row>
    <row r="79" spans="1:3" x14ac:dyDescent="0.35">
      <c r="A79" s="2"/>
      <c r="B79" s="2"/>
      <c r="C79" s="2"/>
    </row>
    <row r="80" spans="1:3" x14ac:dyDescent="0.35">
      <c r="A80" s="2"/>
      <c r="B80" s="2"/>
      <c r="C80" s="2"/>
    </row>
    <row r="81" spans="1:3" x14ac:dyDescent="0.35">
      <c r="A81" s="2"/>
      <c r="B81" s="2"/>
      <c r="C81" s="2"/>
    </row>
    <row r="82" spans="1:3" x14ac:dyDescent="0.35">
      <c r="A82" s="2"/>
      <c r="B82" s="2"/>
      <c r="C82" s="2"/>
    </row>
    <row r="83" spans="1:3" x14ac:dyDescent="0.35">
      <c r="A83" s="2"/>
      <c r="B83" s="2"/>
      <c r="C83" s="2"/>
    </row>
    <row r="84" spans="1:3" x14ac:dyDescent="0.35">
      <c r="A84" s="2"/>
      <c r="B84" s="2"/>
      <c r="C84" s="2"/>
    </row>
    <row r="85" spans="1:3" x14ac:dyDescent="0.35">
      <c r="A85" s="2"/>
      <c r="B85" s="2"/>
      <c r="C85" s="2"/>
    </row>
    <row r="86" spans="1:3" x14ac:dyDescent="0.35">
      <c r="A86" s="2"/>
      <c r="B86" s="2"/>
      <c r="C86" s="2"/>
    </row>
    <row r="87" spans="1:3" x14ac:dyDescent="0.35">
      <c r="A87" s="2"/>
      <c r="B87" s="2"/>
      <c r="C87" s="2"/>
    </row>
    <row r="88" spans="1:3" x14ac:dyDescent="0.35">
      <c r="A88" s="2"/>
      <c r="B88" s="2"/>
      <c r="C88" s="2"/>
    </row>
    <row r="89" spans="1:3" x14ac:dyDescent="0.35">
      <c r="A89" s="2"/>
      <c r="B89" s="2"/>
      <c r="C89" s="2"/>
    </row>
    <row r="90" spans="1:3" x14ac:dyDescent="0.35">
      <c r="A90" s="2"/>
      <c r="B90" s="2"/>
      <c r="C90" s="2"/>
    </row>
    <row r="91" spans="1:3" x14ac:dyDescent="0.35">
      <c r="A91" s="2"/>
      <c r="B91" s="2"/>
      <c r="C91" s="2"/>
    </row>
    <row r="92" spans="1:3" x14ac:dyDescent="0.35">
      <c r="A92" s="2"/>
      <c r="B92" s="2"/>
      <c r="C92" s="2"/>
    </row>
    <row r="93" spans="1:3" x14ac:dyDescent="0.35">
      <c r="A93" s="143"/>
      <c r="B93" s="143"/>
      <c r="C93" s="143"/>
    </row>
    <row r="94" spans="1:3" x14ac:dyDescent="0.35">
      <c r="A94" s="143"/>
      <c r="B94" s="143"/>
      <c r="C94" s="143"/>
    </row>
    <row r="95" spans="1:3" x14ac:dyDescent="0.35">
      <c r="A95" s="2"/>
      <c r="B95" s="2"/>
      <c r="C95" s="2"/>
    </row>
    <row r="96" spans="1:3" x14ac:dyDescent="0.35">
      <c r="A96" s="2"/>
      <c r="B96" s="2"/>
      <c r="C96" s="2"/>
    </row>
    <row r="97" spans="1:3" x14ac:dyDescent="0.35">
      <c r="A97" s="2"/>
      <c r="B97" s="2"/>
      <c r="C97" s="2"/>
    </row>
    <row r="98" spans="1:3" x14ac:dyDescent="0.35">
      <c r="A98" s="2"/>
      <c r="B98" s="2"/>
      <c r="C98" s="2"/>
    </row>
    <row r="99" spans="1:3" x14ac:dyDescent="0.35">
      <c r="A99" s="2"/>
      <c r="B99" s="2"/>
      <c r="C99" s="2"/>
    </row>
    <row r="100" spans="1:3" x14ac:dyDescent="0.35">
      <c r="A100" s="2"/>
      <c r="B100" s="2"/>
      <c r="C100" s="2"/>
    </row>
    <row r="101" spans="1:3" x14ac:dyDescent="0.35">
      <c r="A101" s="2"/>
      <c r="B101" s="2"/>
      <c r="C101" s="2"/>
    </row>
    <row r="102" spans="1:3" x14ac:dyDescent="0.35">
      <c r="A102" s="2"/>
      <c r="B102" s="2"/>
      <c r="C102" s="2"/>
    </row>
    <row r="103" spans="1:3" x14ac:dyDescent="0.35">
      <c r="A103" s="2"/>
      <c r="B103" s="2"/>
      <c r="C103" s="2"/>
    </row>
    <row r="104" spans="1:3" x14ac:dyDescent="0.35">
      <c r="A104" s="2"/>
      <c r="B104" s="2"/>
      <c r="C104" s="2"/>
    </row>
    <row r="105" spans="1:3" x14ac:dyDescent="0.35">
      <c r="A105" s="2"/>
      <c r="B105" s="2"/>
      <c r="C105" s="2"/>
    </row>
    <row r="106" spans="1:3" x14ac:dyDescent="0.35">
      <c r="A106" s="2"/>
      <c r="B106" s="2"/>
      <c r="C106" s="2"/>
    </row>
    <row r="107" spans="1:3" x14ac:dyDescent="0.35">
      <c r="A107" s="2"/>
      <c r="B107" s="2"/>
      <c r="C107" s="2"/>
    </row>
    <row r="108" spans="1:3" x14ac:dyDescent="0.35">
      <c r="A108" s="2"/>
      <c r="B108" s="2"/>
      <c r="C108" s="2"/>
    </row>
    <row r="109" spans="1:3" x14ac:dyDescent="0.35">
      <c r="A109" s="2"/>
      <c r="B109" s="2"/>
      <c r="C109" s="2"/>
    </row>
    <row r="110" spans="1:3" x14ac:dyDescent="0.35">
      <c r="A110" s="2"/>
      <c r="B110" s="2"/>
      <c r="C110" s="2"/>
    </row>
    <row r="111" spans="1:3" x14ac:dyDescent="0.35">
      <c r="A111" s="2"/>
      <c r="B111" s="2"/>
      <c r="C111" s="2"/>
    </row>
    <row r="112" spans="1:3" x14ac:dyDescent="0.35">
      <c r="A112" s="2"/>
      <c r="B112" s="2"/>
      <c r="C112" s="2"/>
    </row>
    <row r="113" spans="1:3" x14ac:dyDescent="0.35">
      <c r="A113" s="2"/>
      <c r="B113" s="2"/>
      <c r="C113" s="2"/>
    </row>
    <row r="114" spans="1:3" x14ac:dyDescent="0.35">
      <c r="A114" s="2"/>
      <c r="B114" s="2"/>
      <c r="C114" s="2"/>
    </row>
    <row r="115" spans="1:3" x14ac:dyDescent="0.35">
      <c r="A115" s="2"/>
      <c r="B115" s="2"/>
      <c r="C115" s="2"/>
    </row>
    <row r="116" spans="1:3" x14ac:dyDescent="0.35">
      <c r="A116" s="2"/>
      <c r="B116" s="2"/>
      <c r="C116" s="2"/>
    </row>
    <row r="117" spans="1:3" x14ac:dyDescent="0.35">
      <c r="A117" s="2"/>
      <c r="B117" s="2"/>
      <c r="C117" s="2"/>
    </row>
    <row r="118" spans="1:3" x14ac:dyDescent="0.35">
      <c r="A118" s="2"/>
      <c r="B118" s="2"/>
      <c r="C118" s="2"/>
    </row>
    <row r="119" spans="1:3" x14ac:dyDescent="0.35">
      <c r="A119" s="2"/>
      <c r="B119" s="2"/>
      <c r="C119" s="2"/>
    </row>
    <row r="120" spans="1:3" x14ac:dyDescent="0.35">
      <c r="A120" s="2"/>
      <c r="B120" s="2"/>
      <c r="C120" s="2"/>
    </row>
    <row r="121" spans="1:3" x14ac:dyDescent="0.35">
      <c r="A121" s="2"/>
      <c r="B121" s="2"/>
      <c r="C121" s="2"/>
    </row>
    <row r="122" spans="1:3" x14ac:dyDescent="0.35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F146-1580-4075-B8AB-5795F026C70F}">
  <dimension ref="A3:H347"/>
  <sheetViews>
    <sheetView topLeftCell="A163" zoomScale="115" zoomScaleNormal="115" workbookViewId="0">
      <selection activeCell="E176" sqref="E176"/>
    </sheetView>
  </sheetViews>
  <sheetFormatPr defaultColWidth="8.7265625" defaultRowHeight="14.5" x14ac:dyDescent="0.35"/>
  <cols>
    <col min="1" max="1" width="12.81640625" style="5" customWidth="1"/>
    <col min="2" max="2" width="16.1796875" style="5" customWidth="1"/>
    <col min="3" max="3" width="24.26953125" style="5" customWidth="1"/>
    <col min="4" max="4" width="7.81640625" style="5" customWidth="1"/>
    <col min="5" max="5" width="20.26953125" style="5" customWidth="1"/>
    <col min="6" max="6" width="37" style="5" customWidth="1"/>
    <col min="7" max="7" width="33.54296875" style="5" customWidth="1"/>
    <col min="8" max="8" width="11.26953125" style="5" customWidth="1"/>
    <col min="9" max="16384" width="8.7265625" style="5"/>
  </cols>
  <sheetData>
    <row r="3" spans="1:8" x14ac:dyDescent="0.35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 x14ac:dyDescent="0.35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_xlfn.CONCAT(F5:F12)</f>
        <v>00000000000000000000000000000000</v>
      </c>
    </row>
    <row r="6" spans="1:8" x14ac:dyDescent="0.35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0</v>
      </c>
      <c r="F6" s="5" t="str">
        <f>DEC2BIN(D6,7)</f>
        <v>0000000</v>
      </c>
    </row>
    <row r="7" spans="1:8" x14ac:dyDescent="0.35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00</v>
      </c>
      <c r="H7" s="5" t="str">
        <f>_xlfn.CONCAT(G7:G10)</f>
        <v>00000000</v>
      </c>
    </row>
    <row r="8" spans="1:8" x14ac:dyDescent="0.35">
      <c r="B8" s="5" t="s">
        <v>178</v>
      </c>
      <c r="C8" s="5" t="s">
        <v>192</v>
      </c>
      <c r="D8" s="5">
        <f>ROUNDUP(Parameters!D30/2,0)</f>
        <v>0</v>
      </c>
      <c r="F8" s="5" t="str">
        <f>DEC2BIN(D8,6)</f>
        <v>000000</v>
      </c>
      <c r="G8" s="5" t="str">
        <f>BIN2HEX(MID(G5,9,8),2)</f>
        <v>00</v>
      </c>
    </row>
    <row r="9" spans="1:8" x14ac:dyDescent="0.35">
      <c r="B9" s="5">
        <v>15</v>
      </c>
      <c r="C9" s="5" t="s">
        <v>129</v>
      </c>
      <c r="D9" s="5">
        <v>0</v>
      </c>
      <c r="F9" s="5" t="str">
        <f t="shared" ref="F9" si="0">DEC2BIN(D9,1)</f>
        <v>0</v>
      </c>
      <c r="G9" s="5" t="str">
        <f>BIN2HEX(MID(G5,17,8),2)</f>
        <v>00</v>
      </c>
    </row>
    <row r="10" spans="1:8" x14ac:dyDescent="0.35">
      <c r="B10" s="5" t="s">
        <v>194</v>
      </c>
      <c r="C10" s="5" t="s">
        <v>195</v>
      </c>
      <c r="D10" s="5">
        <f>ROUNDDOWN((ROUNDDOWN(Parameters!D15/Parameters!B3/1024,0)-1)/2,0)</f>
        <v>0</v>
      </c>
      <c r="F10" s="5" t="str">
        <f>DEC2BIN(D10,7)</f>
        <v>0000000</v>
      </c>
      <c r="G10" s="5" t="str">
        <f>BIN2HEX(MID(G5,25,8),2)</f>
        <v>00</v>
      </c>
    </row>
    <row r="11" spans="1:8" x14ac:dyDescent="0.35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 x14ac:dyDescent="0.35">
      <c r="B12" s="5" t="s">
        <v>197</v>
      </c>
      <c r="C12" s="5" t="s">
        <v>198</v>
      </c>
      <c r="D12" s="5">
        <f>IF(Parameters!B6=1,ROUNDUP(Parameters!D16/2,0),Parameters!D16/2)</f>
        <v>0</v>
      </c>
      <c r="F12" s="5" t="str">
        <f>DEC2BIN(D12,6)</f>
        <v>000000</v>
      </c>
    </row>
    <row r="14" spans="1:8" x14ac:dyDescent="0.35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5" t="str">
        <f>_xlfn.CONCAT(F14:F20)</f>
        <v>00000000000000000000001000000000</v>
      </c>
    </row>
    <row r="15" spans="1:8" x14ac:dyDescent="0.35">
      <c r="C15" s="5" t="s">
        <v>290</v>
      </c>
      <c r="D15" s="5">
        <v>0</v>
      </c>
      <c r="F15" s="5" t="str">
        <f>DEC2BIN(D15,1)</f>
        <v>0</v>
      </c>
    </row>
    <row r="16" spans="1:8" x14ac:dyDescent="0.35">
      <c r="B16" s="5" t="s">
        <v>200</v>
      </c>
      <c r="C16" s="19" t="s">
        <v>201</v>
      </c>
      <c r="D16" s="5">
        <f>IF(Parameters!B6=1,ROUNDUP(MAX(Parameters!D17,Parameters!D51)/2,0),ROUNDUP(Parameters!D17/2,0))</f>
        <v>0</v>
      </c>
      <c r="F16" s="5" t="str">
        <f>DEC2BIN(D16,5)</f>
        <v>00000</v>
      </c>
      <c r="G16" s="5" t="str">
        <f>BIN2HEX(MID(G14,1,8),2)</f>
        <v>00</v>
      </c>
      <c r="H16" s="5" t="str">
        <f>_xlfn.CONCAT(G16:G19)</f>
        <v>00000200</v>
      </c>
    </row>
    <row r="17" spans="1:8" x14ac:dyDescent="0.35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2</v>
      </c>
      <c r="F17" s="5" t="str">
        <f>DEC2BIN(D17,2)</f>
        <v>00</v>
      </c>
      <c r="G17" s="5" t="str">
        <f>BIN2HEX(MID(G14,9,8),2)</f>
        <v>00</v>
      </c>
    </row>
    <row r="18" spans="1:8" x14ac:dyDescent="0.35">
      <c r="B18" s="5" t="s">
        <v>149</v>
      </c>
      <c r="C18" s="5" t="s">
        <v>203</v>
      </c>
      <c r="D18" s="5">
        <f>IF(Parameters!B6=0,Registers_Calculation!E17,ROUNDUP(((Parameters!D24/2)+MAX(Parameters!D18,8)-8)/2,0))</f>
        <v>2</v>
      </c>
      <c r="F18" s="5" t="str">
        <f>DEC2BIN(D18,6)</f>
        <v>000010</v>
      </c>
      <c r="G18" s="5" t="str">
        <f>BIN2HEX(MID(G14,17,8),2)</f>
        <v>02</v>
      </c>
    </row>
    <row r="19" spans="1:8" x14ac:dyDescent="0.35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00</v>
      </c>
    </row>
    <row r="20" spans="1:8" x14ac:dyDescent="0.35">
      <c r="B20" s="7" t="s">
        <v>188</v>
      </c>
      <c r="C20" s="19" t="s">
        <v>204</v>
      </c>
      <c r="D20" s="5">
        <f>ROUNDUP(Parameters!D19/2,0)</f>
        <v>0</v>
      </c>
      <c r="F20" s="5" t="str">
        <f>DEC2BIN(D20,7)</f>
        <v>0000000</v>
      </c>
    </row>
    <row r="22" spans="1:8" x14ac:dyDescent="0.35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5" t="str">
        <f>_xlfn.CONCAT(F22:F29)</f>
        <v>00000000000000000000000100000100</v>
      </c>
    </row>
    <row r="23" spans="1:8" x14ac:dyDescent="0.35">
      <c r="B23" s="5" t="s">
        <v>165</v>
      </c>
      <c r="C23" s="5" t="s">
        <v>205</v>
      </c>
      <c r="D23" s="5">
        <f>ROUNDUP(Parameters!D23/2,0)</f>
        <v>0</v>
      </c>
      <c r="E23" s="5">
        <f>Parameters!D22+(Parameters!D24/2)+Parameters!D31+Parameters!D33-Parameters!D58-Parameters!D60+1</f>
        <v>1</v>
      </c>
      <c r="F23" s="5" t="str">
        <f t="shared" ref="F23:F34" si="1">DEC2BIN(D23,6)</f>
        <v>000000</v>
      </c>
    </row>
    <row r="24" spans="1:8" x14ac:dyDescent="0.35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00</v>
      </c>
      <c r="H24" s="5" t="str">
        <f>_xlfn.CONCAT(G24:G27)</f>
        <v>00000104</v>
      </c>
    </row>
    <row r="25" spans="1:8" x14ac:dyDescent="0.35">
      <c r="B25" s="7">
        <v>0.88611111111111107</v>
      </c>
      <c r="C25" s="5" t="s">
        <v>206</v>
      </c>
      <c r="D25" s="5">
        <f>ROUNDUP(Parameters!D22/2,0)</f>
        <v>0</v>
      </c>
      <c r="E25" s="5">
        <f>Parameters!D22+(Parameters!D24/2)+Parameters!D31+Parameters!D32+Parameters!D33-Parameters!D23</f>
        <v>0</v>
      </c>
      <c r="F25" s="5" t="str">
        <f t="shared" si="1"/>
        <v>000000</v>
      </c>
      <c r="G25" s="5" t="str">
        <f>BIN2HEX(MID(G22,9,8),2)</f>
        <v>00</v>
      </c>
    </row>
    <row r="26" spans="1:8" x14ac:dyDescent="0.35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01</v>
      </c>
    </row>
    <row r="27" spans="1:8" x14ac:dyDescent="0.35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1</v>
      </c>
      <c r="E27" s="5">
        <f>ROUNDUP((Parameters!D22+(Parameters!D24/2)+1+Parameters!D32-Parameters!D23)/2,0)</f>
        <v>1</v>
      </c>
      <c r="F27" s="5" t="str">
        <f t="shared" si="1"/>
        <v>000001</v>
      </c>
      <c r="G27" s="5" t="str">
        <f>BIN2HEX(MID(G22,25,8),2)</f>
        <v>04</v>
      </c>
    </row>
    <row r="28" spans="1:8" x14ac:dyDescent="0.35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 x14ac:dyDescent="0.35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4</v>
      </c>
      <c r="E29" s="5">
        <f>Parameters!D76+Parameters!D26+(Parameters!D24/2)+Parameters!D73</f>
        <v>8</v>
      </c>
      <c r="F29" s="5" t="str">
        <f t="shared" si="1"/>
        <v>000100</v>
      </c>
    </row>
    <row r="31" spans="1:8" x14ac:dyDescent="0.35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5" t="str">
        <f>_xlfn.CONCAT(F31:F36)</f>
        <v>00000000000000000000000000000000</v>
      </c>
    </row>
    <row r="32" spans="1:8" x14ac:dyDescent="0.35">
      <c r="B32" s="5" t="s">
        <v>216</v>
      </c>
      <c r="C32" s="5" t="s">
        <v>217</v>
      </c>
      <c r="D32" s="5">
        <f>IF(Parameters!B6=0,0,ROUNDUP(MAX(Parameters!D44,Parameters!D45)/2,0))</f>
        <v>0</v>
      </c>
      <c r="F32" s="5" t="str">
        <f>DEC2BIN(D32,10)</f>
        <v>0000000000</v>
      </c>
    </row>
    <row r="33" spans="1:8" x14ac:dyDescent="0.35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_xlfn.CONCAT(G33:G36)</f>
        <v>00000000</v>
      </c>
    </row>
    <row r="34" spans="1:8" x14ac:dyDescent="0.35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0</v>
      </c>
      <c r="F34" s="5" t="str">
        <f t="shared" si="1"/>
        <v>000000</v>
      </c>
      <c r="G34" s="5" t="str">
        <f>BIN2HEX(MID(G31,9,8),2)</f>
        <v>00</v>
      </c>
    </row>
    <row r="35" spans="1:8" x14ac:dyDescent="0.35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00</v>
      </c>
    </row>
    <row r="36" spans="1:8" x14ac:dyDescent="0.35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0</v>
      </c>
      <c r="E36" s="5" t="s">
        <v>224</v>
      </c>
      <c r="F36" s="5" t="str">
        <f>DEC2BIN(D36,10)</f>
        <v>0000000000</v>
      </c>
      <c r="G36" s="5" t="str">
        <f>BIN2HEX(MID(G31,25,8),2)</f>
        <v>00</v>
      </c>
    </row>
    <row r="38" spans="1:8" x14ac:dyDescent="0.35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5" t="str">
        <f>_xlfn.CONCAT(F38:F45)</f>
        <v>00000000000000000000000000000001</v>
      </c>
    </row>
    <row r="39" spans="1:8" x14ac:dyDescent="0.35">
      <c r="B39" s="5" t="s">
        <v>226</v>
      </c>
      <c r="C39" s="19" t="s">
        <v>227</v>
      </c>
      <c r="D39" s="5">
        <f>ROUNDUP((Parameters!D21-Parameters!D25)/2,0)</f>
        <v>0</v>
      </c>
      <c r="F39" s="5" t="str">
        <f>DEC2BIN(D39,5)</f>
        <v>00000</v>
      </c>
    </row>
    <row r="40" spans="1:8" x14ac:dyDescent="0.35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00</v>
      </c>
      <c r="H40" s="5" t="str">
        <f>_xlfn.CONCAT(G40:G43)</f>
        <v>00000001</v>
      </c>
    </row>
    <row r="41" spans="1:8" x14ac:dyDescent="0.35">
      <c r="B41" s="5" t="s">
        <v>156</v>
      </c>
      <c r="C41" s="5" t="s">
        <v>228</v>
      </c>
      <c r="D41" s="5">
        <f>IF(Parameters!B6=0,ROUNDUP(Parameters!D69/2,0),ROUNDUP(Parameters!D41/2,0))</f>
        <v>0</v>
      </c>
      <c r="F41" s="5" t="str">
        <f>DEC2BIN(D41,4)</f>
        <v>0000</v>
      </c>
      <c r="G41" s="5" t="str">
        <f>BIN2HEX(MID(G38,9,8),2)</f>
        <v>00</v>
      </c>
    </row>
    <row r="42" spans="1:8" x14ac:dyDescent="0.35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00</v>
      </c>
    </row>
    <row r="43" spans="1:8" x14ac:dyDescent="0.35">
      <c r="B43" s="5" t="s">
        <v>160</v>
      </c>
      <c r="C43" s="5" t="s">
        <v>229</v>
      </c>
      <c r="D43" s="5">
        <f>IF(Parameters!B6=0,ROUNDUP(Parameters!D70/2,0),ROUNDUP(Parameters!D42/2,0))</f>
        <v>0</v>
      </c>
      <c r="F43" s="5" t="str">
        <f>DEC2BIN(D43,4)</f>
        <v>0000</v>
      </c>
      <c r="G43" s="5" t="str">
        <f>BIN2HEX(MID(G38,25,8),2)</f>
        <v>01</v>
      </c>
    </row>
    <row r="44" spans="1:8" x14ac:dyDescent="0.35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 x14ac:dyDescent="0.35">
      <c r="B45" s="5" t="s">
        <v>134</v>
      </c>
      <c r="C45" s="19" t="s">
        <v>230</v>
      </c>
      <c r="D45" s="5">
        <f>IF(Parameters!B6=0,Registers_Calculation!E45,ROUNDUP(Parameters!D53/2,0))</f>
        <v>1</v>
      </c>
      <c r="E45" s="5">
        <f>ROUNDDOWN(Parameters!D75/2,0)+1</f>
        <v>1</v>
      </c>
      <c r="F45" s="5" t="str">
        <f>DEC2BIN(D45,5)</f>
        <v>00001</v>
      </c>
      <c r="G45" s="5" t="s">
        <v>469</v>
      </c>
    </row>
    <row r="46" spans="1:8" x14ac:dyDescent="0.35">
      <c r="D46" s="19"/>
    </row>
    <row r="47" spans="1:8" x14ac:dyDescent="0.35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5" t="str">
        <f>_xlfn.CONCAT(F47:F54)</f>
        <v>00000000000010110000000100000000</v>
      </c>
    </row>
    <row r="48" spans="1:8" x14ac:dyDescent="0.35">
      <c r="B48" s="5" t="s">
        <v>143</v>
      </c>
      <c r="C48" s="5" t="s">
        <v>142</v>
      </c>
      <c r="D48" s="19">
        <f>ROUNDUP(Parameters!D27/2,0)</f>
        <v>0</v>
      </c>
      <c r="F48" s="5" t="str">
        <f>DEC2BIN(D48,4)</f>
        <v>0000</v>
      </c>
    </row>
    <row r="49" spans="1:8" x14ac:dyDescent="0.35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00</v>
      </c>
      <c r="H49" s="5" t="str">
        <f>_xlfn.CONCAT(G49:G52)</f>
        <v>000B0100</v>
      </c>
    </row>
    <row r="50" spans="1:8" x14ac:dyDescent="0.35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11</v>
      </c>
      <c r="F50" s="5" t="str">
        <f>DEC2BIN(D50,4)</f>
        <v>1011</v>
      </c>
      <c r="G50" s="5" t="str">
        <f>BIN2HEX(MID(G47,9,8),2)</f>
        <v>0B</v>
      </c>
    </row>
    <row r="51" spans="1:8" x14ac:dyDescent="0.35">
      <c r="B51" s="7" t="s">
        <v>202</v>
      </c>
      <c r="C51" s="5" t="s">
        <v>129</v>
      </c>
      <c r="D51" s="19">
        <v>0</v>
      </c>
      <c r="F51" s="5" t="str">
        <f t="shared" ref="F51" si="2">DEC2BIN(D51,2)</f>
        <v>00</v>
      </c>
      <c r="G51" s="5" t="str">
        <f>BIN2HEX(MID(G47,17,8),2)</f>
        <v>01</v>
      </c>
    </row>
    <row r="52" spans="1:8" x14ac:dyDescent="0.35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1</v>
      </c>
      <c r="F52" s="5" t="str">
        <f>DEC2BIN(D52,6)</f>
        <v>000001</v>
      </c>
      <c r="G52" s="5" t="str">
        <f>BIN2HEX(MID(G47,25,8),2)</f>
        <v>00</v>
      </c>
    </row>
    <row r="53" spans="1:8" x14ac:dyDescent="0.35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 x14ac:dyDescent="0.35">
      <c r="B54" s="7" t="s">
        <v>134</v>
      </c>
      <c r="C54" s="5" t="s">
        <v>152</v>
      </c>
      <c r="D54" s="5">
        <f>IF(Parameters!B6=0,ROUNDUP(Parameters!D29/2,0),ROUNDUP(MAX(Parameters!D29,Parameters!D43)/2,0))</f>
        <v>0</v>
      </c>
      <c r="F54" s="5" t="str">
        <f>DEC2BIN(D54,5)</f>
        <v>00000</v>
      </c>
    </row>
    <row r="55" spans="1:8" x14ac:dyDescent="0.35">
      <c r="B55" s="7"/>
    </row>
    <row r="56" spans="1:8" x14ac:dyDescent="0.35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5" t="str">
        <f>_xlfn.CONCAT(F56:F62)</f>
        <v>00000000000000000000000000000000</v>
      </c>
    </row>
    <row r="57" spans="1:8" ht="29" x14ac:dyDescent="0.35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3">DEC2BIN(D57,4)</f>
        <v>0000</v>
      </c>
    </row>
    <row r="58" spans="1:8" x14ac:dyDescent="0.35">
      <c r="B58" s="5" t="s">
        <v>144</v>
      </c>
      <c r="C58" s="5" t="s">
        <v>129</v>
      </c>
      <c r="D58" s="5">
        <v>0</v>
      </c>
      <c r="F58" s="5" t="str">
        <f t="shared" si="3"/>
        <v>0000</v>
      </c>
      <c r="G58" s="5" t="str">
        <f>BIN2HEX(MID(G56,1,8),2)</f>
        <v>00</v>
      </c>
      <c r="H58" s="5" t="str">
        <f>_xlfn.CONCAT(G58:G61)</f>
        <v>00000000</v>
      </c>
    </row>
    <row r="59" spans="1:8" ht="29" x14ac:dyDescent="0.35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3"/>
        <v>0000</v>
      </c>
      <c r="G59" s="5" t="str">
        <f>BIN2HEX(MID(G56,9,8),2)</f>
        <v>00</v>
      </c>
    </row>
    <row r="60" spans="1:8" x14ac:dyDescent="0.35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 x14ac:dyDescent="0.35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00</v>
      </c>
    </row>
    <row r="62" spans="1:8" x14ac:dyDescent="0.35">
      <c r="B62" s="5" t="s">
        <v>158</v>
      </c>
      <c r="C62" s="5" t="s">
        <v>157</v>
      </c>
      <c r="D62" s="5">
        <f>IF(Parameters!B6=0,0,ROUNDUP((Parameters!D17+2)/2,0))</f>
        <v>0</v>
      </c>
      <c r="F62" s="5" t="str">
        <f t="shared" si="3"/>
        <v>0000</v>
      </c>
    </row>
    <row r="64" spans="1:8" x14ac:dyDescent="0.35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5" t="str">
        <f>_xlfn.CONCAT(F64:F68)</f>
        <v>00000000000000000000101100000000</v>
      </c>
      <c r="H64" s="5" t="str">
        <f>_xlfn.CONCAT(G65:G68)</f>
        <v>00000B00</v>
      </c>
    </row>
    <row r="65" spans="1:8" x14ac:dyDescent="0.35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 x14ac:dyDescent="0.35">
      <c r="B66" s="5" t="s">
        <v>160</v>
      </c>
      <c r="C66" s="5" t="s">
        <v>161</v>
      </c>
      <c r="D66" s="5">
        <f>IF(Parameters!B6=0,D50,ROUNDUP(Parameters!D28/2,0))</f>
        <v>11</v>
      </c>
      <c r="F66" s="5" t="str">
        <f t="shared" ref="F66:F68" si="4">DEC2BIN(D66,4)</f>
        <v>1011</v>
      </c>
      <c r="G66" s="5" t="str">
        <f>BIN2HEX(MID(G64,9,8),2)</f>
        <v>00</v>
      </c>
    </row>
    <row r="67" spans="1:8" x14ac:dyDescent="0.35">
      <c r="B67" s="5" t="s">
        <v>162</v>
      </c>
      <c r="C67" s="5" t="s">
        <v>129</v>
      </c>
      <c r="D67" s="5">
        <v>0</v>
      </c>
      <c r="F67" s="5" t="str">
        <f t="shared" si="4"/>
        <v>0000</v>
      </c>
      <c r="G67" s="5" t="str">
        <f>BIN2HEX(MID(G64,17,8),2)</f>
        <v>0B</v>
      </c>
    </row>
    <row r="68" spans="1:8" x14ac:dyDescent="0.35">
      <c r="B68" s="7" t="s">
        <v>158</v>
      </c>
      <c r="C68" s="5" t="s">
        <v>163</v>
      </c>
      <c r="D68" s="5">
        <f>IF(Parameters!B6=0,Registers_Calculation!D48,ROUNDUP(Parameters!D27/2,0))</f>
        <v>0</v>
      </c>
      <c r="F68" s="5" t="str">
        <f t="shared" si="4"/>
        <v>0000</v>
      </c>
      <c r="G68" s="5" t="str">
        <f>BIN2HEX(MID(G64,25,8),2)</f>
        <v>00</v>
      </c>
    </row>
    <row r="69" spans="1:8" x14ac:dyDescent="0.35">
      <c r="B69" s="7"/>
    </row>
    <row r="70" spans="1:8" x14ac:dyDescent="0.35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5" t="str">
        <f>_xlfn.CONCAT(F70:F77)</f>
        <v>00000001000000010000000100000001</v>
      </c>
    </row>
    <row r="71" spans="1:8" ht="43.5" x14ac:dyDescent="0.35">
      <c r="B71" s="7" t="s">
        <v>174</v>
      </c>
      <c r="C71" s="5" t="s">
        <v>312</v>
      </c>
      <c r="D71" s="19">
        <f>IF(Parameters!B6=0,(ROUNDUP(ROUNDUP((Parameters!D80)/2,0)/32,0))+1,0)</f>
        <v>1</v>
      </c>
      <c r="E71" s="22" t="s">
        <v>458</v>
      </c>
      <c r="F71" s="5" t="str">
        <f>DEC2BIN(D71,7)</f>
        <v>0000001</v>
      </c>
    </row>
    <row r="72" spans="1:8" x14ac:dyDescent="0.35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01</v>
      </c>
      <c r="H72" s="5" t="str">
        <f>_xlfn.CONCAT(G72:G75)</f>
        <v>01010101</v>
      </c>
    </row>
    <row r="73" spans="1:8" ht="43.5" x14ac:dyDescent="0.35">
      <c r="B73" s="7" t="s">
        <v>268</v>
      </c>
      <c r="C73" s="5" t="s">
        <v>313</v>
      </c>
      <c r="D73" s="19">
        <f>IF(Parameters!B6=0,(ROUNDUP(ROUNDUP(Parameters!D81/2,0)/32,0)+1),0)</f>
        <v>1</v>
      </c>
      <c r="E73" s="22" t="s">
        <v>458</v>
      </c>
      <c r="F73" s="5" t="str">
        <f>DEC2BIN(D73,7)</f>
        <v>0000001</v>
      </c>
      <c r="G73" s="5" t="str">
        <f>BIN2HEX(MID(G70,9,8),2)</f>
        <v>01</v>
      </c>
    </row>
    <row r="74" spans="1:8" x14ac:dyDescent="0.35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01</v>
      </c>
    </row>
    <row r="75" spans="1:8" ht="43.5" x14ac:dyDescent="0.35">
      <c r="B75" s="5" t="s">
        <v>194</v>
      </c>
      <c r="C75" s="5" t="s">
        <v>314</v>
      </c>
      <c r="D75" s="19">
        <f>IF(Parameters!B6=0,(ROUNDUP(ROUNDUP(Parameters!D82/2,0)/32,0)+1),0)</f>
        <v>1</v>
      </c>
      <c r="E75" s="22" t="s">
        <v>458</v>
      </c>
      <c r="F75" s="5" t="str">
        <f>DEC2BIN(D75,7)</f>
        <v>0000001</v>
      </c>
      <c r="G75" s="5" t="str">
        <f>BIN2HEX(MID(G70,25,8),2)</f>
        <v>01</v>
      </c>
    </row>
    <row r="76" spans="1:8" x14ac:dyDescent="0.35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3.5" x14ac:dyDescent="0.35">
      <c r="B77" s="5" t="s">
        <v>188</v>
      </c>
      <c r="C77" s="5" t="s">
        <v>315</v>
      </c>
      <c r="D77" s="19">
        <f>IF(Parameters!B6=0,(ROUNDUP(ROUNDUP(Parameters!D79/2,0)/32,0)+1),0)</f>
        <v>1</v>
      </c>
      <c r="E77" s="22" t="s">
        <v>458</v>
      </c>
      <c r="F77" s="5" t="str">
        <f>DEC2BIN(D77,7)</f>
        <v>0000001</v>
      </c>
    </row>
    <row r="78" spans="1:8" x14ac:dyDescent="0.35">
      <c r="B78" s="7"/>
      <c r="D78" s="19"/>
    </row>
    <row r="79" spans="1:8" x14ac:dyDescent="0.35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5" t="str">
        <f>_xlfn.CONCAT(F79:F87)</f>
        <v>00000000000000000000000000000000</v>
      </c>
    </row>
    <row r="80" spans="1:8" x14ac:dyDescent="0.35">
      <c r="B80" s="5">
        <v>30</v>
      </c>
      <c r="C80" s="5" t="s">
        <v>322</v>
      </c>
      <c r="D80" s="19">
        <f>IF(Parameters!B6=0,Parameters!D97,0)</f>
        <v>0</v>
      </c>
      <c r="E80" s="5" t="s">
        <v>164</v>
      </c>
      <c r="F80" s="5" t="str">
        <f>DEC2BIN(D80,1)</f>
        <v>0</v>
      </c>
    </row>
    <row r="81" spans="1:8" x14ac:dyDescent="0.35">
      <c r="D81" s="19">
        <v>0</v>
      </c>
      <c r="F81" s="5" t="str">
        <f>DEC2BIN(D81,1)</f>
        <v>0</v>
      </c>
    </row>
    <row r="82" spans="1:8" x14ac:dyDescent="0.35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00</v>
      </c>
      <c r="H82" s="5" t="str">
        <f>_xlfn.CONCAT(G82:G85)</f>
        <v>00000000</v>
      </c>
    </row>
    <row r="83" spans="1:8" x14ac:dyDescent="0.35">
      <c r="B83" s="7" t="s">
        <v>321</v>
      </c>
      <c r="C83" s="5" t="s">
        <v>323</v>
      </c>
      <c r="D83" s="19">
        <f>IF(Parameters!B6=0,ROUNDUP(Parameters!D84/2,0),0)</f>
        <v>0</v>
      </c>
      <c r="E83" s="5" t="s">
        <v>164</v>
      </c>
      <c r="F83" s="5" t="str">
        <f>DEC2BIN(D83,3)</f>
        <v>000</v>
      </c>
      <c r="G83" s="5" t="str">
        <f>BIN2HEX(MID(G79,9,8),2)</f>
        <v>00</v>
      </c>
    </row>
    <row r="84" spans="1:8" x14ac:dyDescent="0.35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00</v>
      </c>
    </row>
    <row r="85" spans="1:8" x14ac:dyDescent="0.35">
      <c r="B85" s="7" t="s">
        <v>160</v>
      </c>
      <c r="C85" s="5" t="s">
        <v>324</v>
      </c>
      <c r="D85" s="19">
        <f>IF(Parameters!B6=0,ROUNDUP(Parameters!D85/2,0),0)</f>
        <v>0</v>
      </c>
      <c r="E85" s="5" t="s">
        <v>164</v>
      </c>
      <c r="F85" s="5" t="str">
        <f>DEC2BIN(D85,4)</f>
        <v>0000</v>
      </c>
      <c r="G85" s="5" t="str">
        <f>BIN2HEX(MID(G79,25,8),2)</f>
        <v>00</v>
      </c>
    </row>
    <row r="86" spans="1:8" x14ac:dyDescent="0.35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 x14ac:dyDescent="0.35">
      <c r="B87" s="7" t="s">
        <v>197</v>
      </c>
      <c r="C87" s="5" t="s">
        <v>325</v>
      </c>
      <c r="D87" s="19">
        <f>IF(Parameters!B6=0,ROUNDUP((Parameters!D76+Parameters!D26+(Parameters!D24/2)+Parameters!D86)/2,0),0)</f>
        <v>0</v>
      </c>
      <c r="E87" s="5" t="s">
        <v>164</v>
      </c>
      <c r="F87" s="5" t="str">
        <f>DEC2BIN(D87,6)</f>
        <v>000000</v>
      </c>
    </row>
    <row r="88" spans="1:8" x14ac:dyDescent="0.35">
      <c r="B88" s="7"/>
      <c r="D88" s="19"/>
    </row>
    <row r="89" spans="1:8" x14ac:dyDescent="0.35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5" t="str">
        <f>_xlfn.CONCAT(F89:F96)</f>
        <v>00000000000000000000000000000000</v>
      </c>
    </row>
    <row r="90" spans="1:8" x14ac:dyDescent="0.35">
      <c r="B90" s="7"/>
      <c r="D90" s="19">
        <v>0</v>
      </c>
      <c r="F90" s="5" t="str">
        <f>DEC2BIN(D90,1)</f>
        <v>0</v>
      </c>
    </row>
    <row r="91" spans="1:8" x14ac:dyDescent="0.35">
      <c r="B91" s="7" t="s">
        <v>200</v>
      </c>
      <c r="C91" s="5" t="s">
        <v>329</v>
      </c>
      <c r="D91" s="19">
        <f>ROUNDUP(Parameters!D87/2,0)</f>
        <v>0</v>
      </c>
      <c r="F91" s="5" t="str">
        <f>DEC2BIN(D91,5)</f>
        <v>00000</v>
      </c>
    </row>
    <row r="92" spans="1:8" x14ac:dyDescent="0.35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 x14ac:dyDescent="0.35">
      <c r="B93" s="7" t="s">
        <v>274</v>
      </c>
      <c r="C93" s="5" t="s">
        <v>330</v>
      </c>
      <c r="D93" s="19">
        <f>ROUNDUP(Parameters!D88/2,0)</f>
        <v>0</v>
      </c>
      <c r="F93" s="5" t="str">
        <f>DEC2BIN(D93,5)</f>
        <v>00000</v>
      </c>
      <c r="G93" s="5" t="str">
        <f>BIN2HEX(MID(G89,1,8),2)</f>
        <v>00</v>
      </c>
      <c r="H93" s="5" t="str">
        <f>_xlfn.CONCAT(G93:G96)</f>
        <v>00000000</v>
      </c>
    </row>
    <row r="94" spans="1:8" x14ac:dyDescent="0.35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00</v>
      </c>
    </row>
    <row r="95" spans="1:8" x14ac:dyDescent="0.35">
      <c r="B95" s="7" t="s">
        <v>232</v>
      </c>
      <c r="C95" s="5" t="s">
        <v>331</v>
      </c>
      <c r="D95" s="19">
        <f>ROUNDUP(Parameters!D89/2,0)</f>
        <v>0</v>
      </c>
      <c r="F95" s="5" t="str">
        <f>DEC2BIN(D95,2)</f>
        <v>00</v>
      </c>
      <c r="G95" s="5" t="str">
        <f>BIN2HEX(MID(G89,17,8),2)</f>
        <v>00</v>
      </c>
    </row>
    <row r="96" spans="1:8" x14ac:dyDescent="0.35">
      <c r="B96" s="7" t="s">
        <v>136</v>
      </c>
      <c r="C96" s="5" t="s">
        <v>332</v>
      </c>
      <c r="D96" s="19">
        <f>ROUNDUP(Parameters!D90/2,0)</f>
        <v>0</v>
      </c>
      <c r="F96" s="5" t="str">
        <f>DEC2BIN(D96,2)</f>
        <v>00</v>
      </c>
      <c r="G96" s="5" t="str">
        <f>BIN2HEX(MID(G89,25,8),2)</f>
        <v>00</v>
      </c>
    </row>
    <row r="97" spans="1:8" x14ac:dyDescent="0.35">
      <c r="B97" s="7"/>
      <c r="D97" s="19"/>
    </row>
    <row r="98" spans="1:8" x14ac:dyDescent="0.35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5" t="str">
        <f>_xlfn.CONCAT(F98:F105)</f>
        <v>00000000000000010000000000000000</v>
      </c>
    </row>
    <row r="99" spans="1:8" ht="43.5" x14ac:dyDescent="0.35">
      <c r="B99" s="5" t="s">
        <v>174</v>
      </c>
      <c r="C99" s="5" t="s">
        <v>338</v>
      </c>
      <c r="D99" s="19">
        <f>IF(Parameters!B6=0,ROUNDUP(ROUNDUP(Parameters!D91/2,0)/32,0),0)</f>
        <v>0</v>
      </c>
      <c r="E99" s="22" t="s">
        <v>458</v>
      </c>
      <c r="F99" s="5" t="str">
        <f>DEC2BIN(D99,7)</f>
        <v>0000000</v>
      </c>
    </row>
    <row r="100" spans="1:8" x14ac:dyDescent="0.35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 x14ac:dyDescent="0.35">
      <c r="B101" s="7" t="s">
        <v>200</v>
      </c>
      <c r="C101" s="5" t="s">
        <v>339</v>
      </c>
      <c r="D101" s="19">
        <f>IF(Parameters!B6=0,ROUNDUP(Parameters!D92/2,0)+1,0)</f>
        <v>1</v>
      </c>
      <c r="E101" s="5" t="s">
        <v>164</v>
      </c>
      <c r="F101" s="5" t="str">
        <f>DEC2BIN(D101,5)</f>
        <v>00001</v>
      </c>
      <c r="G101" s="5" t="str">
        <f>BIN2HEX(MID(G98,1,8),2)</f>
        <v>00</v>
      </c>
      <c r="H101" s="5" t="str">
        <f>_xlfn.CONCAT(G101:G104)</f>
        <v>00010000</v>
      </c>
    </row>
    <row r="102" spans="1:8" x14ac:dyDescent="0.35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01</v>
      </c>
    </row>
    <row r="103" spans="1:8" x14ac:dyDescent="0.35">
      <c r="B103" s="7" t="s">
        <v>337</v>
      </c>
      <c r="C103" s="5" t="s">
        <v>340</v>
      </c>
      <c r="D103" s="19">
        <f>IF(Parameters!B6=0,ROUNDUP(Parameters!D93/2,0),0)</f>
        <v>0</v>
      </c>
      <c r="E103" s="5" t="s">
        <v>164</v>
      </c>
      <c r="F103" s="5" t="str">
        <f>DEC2BIN(D103,2)</f>
        <v>00</v>
      </c>
      <c r="G103" s="5" t="str">
        <f>BIN2HEX(MID(G98,17,8),2)</f>
        <v>00</v>
      </c>
    </row>
    <row r="104" spans="1:8" x14ac:dyDescent="0.35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00</v>
      </c>
    </row>
    <row r="105" spans="1:8" x14ac:dyDescent="0.35">
      <c r="B105" s="7" t="s">
        <v>134</v>
      </c>
      <c r="C105" s="5" t="s">
        <v>341</v>
      </c>
      <c r="D105" s="19">
        <f>IF(Parameters!B6=0,ROUNDUP(Parameters!D94/2,0),0)</f>
        <v>0</v>
      </c>
      <c r="E105" s="5" t="s">
        <v>164</v>
      </c>
      <c r="F105" s="5" t="str">
        <f>DEC2BIN(D105,5)</f>
        <v>00000</v>
      </c>
    </row>
    <row r="106" spans="1:8" x14ac:dyDescent="0.35">
      <c r="B106" s="7"/>
      <c r="D106" s="19"/>
    </row>
    <row r="107" spans="1:8" x14ac:dyDescent="0.35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 t="shared" ref="F107:F110" si="5">DEC2BIN(D107,2)</f>
        <v>00</v>
      </c>
      <c r="G107" s="5" t="str">
        <f>_xlfn.CONCAT(F107:F113)</f>
        <v>00000000000000000000000000000000</v>
      </c>
    </row>
    <row r="108" spans="1:8" x14ac:dyDescent="0.35">
      <c r="B108" s="5" t="s">
        <v>165</v>
      </c>
      <c r="C108" s="5" t="s">
        <v>166</v>
      </c>
      <c r="D108" s="19">
        <f>IF(Parameters!B6=0,ROUNDUP(Parameters!D95/2,0),0)</f>
        <v>0</v>
      </c>
      <c r="E108" s="5" t="s">
        <v>164</v>
      </c>
      <c r="F108" s="5" t="str">
        <f>DEC2BIN(D108,6)</f>
        <v>000000</v>
      </c>
    </row>
    <row r="109" spans="1:8" x14ac:dyDescent="0.35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00</v>
      </c>
      <c r="H109" s="5" t="str">
        <f>_xlfn.CONCAT(G109:G112)</f>
        <v>00000000</v>
      </c>
    </row>
    <row r="110" spans="1:8" x14ac:dyDescent="0.35">
      <c r="B110" s="5" t="s">
        <v>168</v>
      </c>
      <c r="C110" s="5" t="s">
        <v>169</v>
      </c>
      <c r="D110" s="19">
        <f>IF(Parameters!B6=0,0,ROUNDUP(MAX(Parameters!D56,Parameters!D57)/2,0))</f>
        <v>0</v>
      </c>
      <c r="E110" s="5" t="s">
        <v>375</v>
      </c>
      <c r="F110" s="5" t="str">
        <f t="shared" si="5"/>
        <v>00</v>
      </c>
      <c r="G110" s="5" t="str">
        <f>BIN2HEX(MID(G107,9,8),2)</f>
        <v>00</v>
      </c>
    </row>
    <row r="111" spans="1:8" x14ac:dyDescent="0.35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 x14ac:dyDescent="0.35">
      <c r="D112" s="19">
        <v>0</v>
      </c>
      <c r="F112" s="5" t="str">
        <f>DEC2BIN(D112,1)</f>
        <v>0</v>
      </c>
      <c r="G112" s="5" t="str">
        <f>BIN2HEX(MID(G107,25,8),2)</f>
        <v>00</v>
      </c>
    </row>
    <row r="113" spans="1:8" x14ac:dyDescent="0.35">
      <c r="B113" s="5" t="s">
        <v>134</v>
      </c>
      <c r="C113" s="5" t="s">
        <v>173</v>
      </c>
      <c r="D113" s="19">
        <f>IF(Parameters!B6=0,ROUNDUP(Parameters!D96/2,0),0)</f>
        <v>0</v>
      </c>
      <c r="E113" s="5" t="s">
        <v>164</v>
      </c>
      <c r="F113" s="5" t="str">
        <f>DEC2BIN(D113,5)</f>
        <v>00000</v>
      </c>
    </row>
    <row r="114" spans="1:8" x14ac:dyDescent="0.35">
      <c r="D114" s="19"/>
    </row>
    <row r="115" spans="1:8" x14ac:dyDescent="0.35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5" t="str">
        <f>_xlfn.CONCAT(F115:F121)</f>
        <v>00000000000000000000000000000000</v>
      </c>
    </row>
    <row r="116" spans="1:8" x14ac:dyDescent="0.35">
      <c r="B116" s="5" t="s">
        <v>174</v>
      </c>
      <c r="C116" s="5" t="s">
        <v>175</v>
      </c>
      <c r="D116" s="19">
        <f>IF(Parameters!B6=0,0,ROUNDUP(Parameters!D59/2,0))</f>
        <v>0</v>
      </c>
      <c r="E116" s="5" t="s">
        <v>375</v>
      </c>
      <c r="F116" s="5" t="str">
        <f>DEC2BIN(D116,7)</f>
        <v>0000000</v>
      </c>
    </row>
    <row r="117" spans="1:8" x14ac:dyDescent="0.35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00</v>
      </c>
      <c r="H117" s="5" t="str">
        <f>_xlfn.CONCAT(G117:G120)</f>
        <v>00000000</v>
      </c>
    </row>
    <row r="118" spans="1:8" x14ac:dyDescent="0.35">
      <c r="B118" s="5" t="s">
        <v>178</v>
      </c>
      <c r="C118" s="5" t="s">
        <v>179</v>
      </c>
      <c r="D118" s="19">
        <f>IF(Parameters!B6=0,0,ROUNDUP(Parameters!D52/2,0))</f>
        <v>0</v>
      </c>
      <c r="E118" s="5" t="s">
        <v>375</v>
      </c>
      <c r="F118" s="5" t="str">
        <f>DEC2BIN(D118,6)</f>
        <v>000000</v>
      </c>
      <c r="G118" s="5" t="str">
        <f>BIN2HEX(MID(G115,9,8),2)</f>
        <v>00</v>
      </c>
    </row>
    <row r="119" spans="1:8" x14ac:dyDescent="0.35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 x14ac:dyDescent="0.35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00</v>
      </c>
    </row>
    <row r="121" spans="1:8" x14ac:dyDescent="0.35">
      <c r="B121" s="5" t="s">
        <v>182</v>
      </c>
      <c r="C121" s="5" t="s">
        <v>181</v>
      </c>
      <c r="D121" s="19">
        <f>IF(Parameters!B6=0,0,ROUNDUP(Parameters!D61/2,0))</f>
        <v>0</v>
      </c>
      <c r="E121" s="5" t="s">
        <v>375</v>
      </c>
      <c r="F121" s="5" t="str">
        <f>DEC2BIN(D121,3)</f>
        <v>000</v>
      </c>
    </row>
    <row r="122" spans="1:8" x14ac:dyDescent="0.35">
      <c r="D122" s="19"/>
    </row>
    <row r="123" spans="1:8" x14ac:dyDescent="0.35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5" t="str">
        <f>_xlfn.CONCAT(F123:F126)</f>
        <v>00000000000000000000000000000000</v>
      </c>
    </row>
    <row r="124" spans="1:8" x14ac:dyDescent="0.35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 x14ac:dyDescent="0.35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_xlfn.CONCAT(G125:G128)</f>
        <v>00000000</v>
      </c>
    </row>
    <row r="126" spans="1:8" x14ac:dyDescent="0.35">
      <c r="A126" s="19"/>
      <c r="B126" s="5" t="s">
        <v>139</v>
      </c>
      <c r="C126" s="5" t="s">
        <v>296</v>
      </c>
      <c r="D126" s="19">
        <f>IF(Parameters!B6=0,0,ROUNDUP(Parameters!D55/2,0))</f>
        <v>0</v>
      </c>
      <c r="E126" s="5" t="s">
        <v>375</v>
      </c>
      <c r="F126" s="5" t="str">
        <f>DEC2BIN(D126,10)</f>
        <v>0000000000</v>
      </c>
      <c r="G126" s="5" t="str">
        <f>BIN2HEX(MID(G123,9,8),2)</f>
        <v>00</v>
      </c>
    </row>
    <row r="127" spans="1:8" x14ac:dyDescent="0.35">
      <c r="A127" s="19"/>
      <c r="D127" s="19"/>
      <c r="G127" s="5" t="str">
        <f>BIN2HEX(MID(G123,17,8),2)</f>
        <v>00</v>
      </c>
    </row>
    <row r="128" spans="1:8" x14ac:dyDescent="0.35">
      <c r="A128" s="19"/>
      <c r="D128" s="19"/>
      <c r="G128" s="5" t="str">
        <f>BIN2HEX(MID(G123,25,8),2)</f>
        <v>00</v>
      </c>
    </row>
    <row r="129" spans="1:8" x14ac:dyDescent="0.35">
      <c r="A129" s="19"/>
      <c r="D129" s="19"/>
    </row>
    <row r="130" spans="1:8" x14ac:dyDescent="0.35">
      <c r="A130" s="5" t="s">
        <v>74</v>
      </c>
      <c r="B130" s="5">
        <v>31</v>
      </c>
      <c r="C130" s="5" t="s">
        <v>349</v>
      </c>
      <c r="D130" s="19" t="e">
        <f>IF(Parameters!B6=0,Parameters!#REF!,0)</f>
        <v>#REF!</v>
      </c>
      <c r="E130" s="5" t="s">
        <v>164</v>
      </c>
      <c r="F130" s="5" t="e">
        <f>DEC2BIN(D130,1)</f>
        <v>#REF!</v>
      </c>
      <c r="G130" s="5" t="e">
        <f>_xlfn.CONCAT(F130:F135)</f>
        <v>#REF!</v>
      </c>
    </row>
    <row r="131" spans="1:8" x14ac:dyDescent="0.35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 x14ac:dyDescent="0.35">
      <c r="B132" s="5">
        <v>24</v>
      </c>
      <c r="C132" s="5" t="s">
        <v>351</v>
      </c>
      <c r="D132" s="19" t="e">
        <f>IF(Parameters!B6=0,Parameters!#REF!,0)</f>
        <v>#REF!</v>
      </c>
      <c r="E132" s="5" t="s">
        <v>164</v>
      </c>
      <c r="F132" s="5" t="e">
        <f>DEC2BIN(D132,1)</f>
        <v>#REF!</v>
      </c>
      <c r="G132" s="5" t="e">
        <f>BIN2HEX(MID(G130,1,8),2)</f>
        <v>#REF!</v>
      </c>
      <c r="H132" s="5" t="e">
        <f>_xlfn.CONCAT(G132:G135)</f>
        <v>#REF!</v>
      </c>
    </row>
    <row r="133" spans="1:8" x14ac:dyDescent="0.35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e">
        <f>BIN2HEX(MID(G130,9,8),2)</f>
        <v>#REF!</v>
      </c>
    </row>
    <row r="134" spans="1:8" x14ac:dyDescent="0.35">
      <c r="D134" s="19">
        <v>0</v>
      </c>
      <c r="F134" s="5" t="str">
        <f>DEC2BIN(D134,6)</f>
        <v>000000</v>
      </c>
      <c r="G134" s="5" t="e">
        <f>BIN2HEX(MID(G130,17,8),2)</f>
        <v>#REF!</v>
      </c>
    </row>
    <row r="135" spans="1:8" x14ac:dyDescent="0.35">
      <c r="B135" s="5" t="s">
        <v>257</v>
      </c>
      <c r="C135" s="5" t="s">
        <v>353</v>
      </c>
      <c r="D135" s="19" t="e">
        <f>IF(Parameters!B6=0,ROUNDUP(ROUNDUP(Parameters!#REF!/2,0)/32,0),0)</f>
        <v>#REF!</v>
      </c>
      <c r="E135" s="22" t="s">
        <v>463</v>
      </c>
      <c r="F135" s="5" t="e">
        <f>DEC2BIN(D135,8)</f>
        <v>#REF!</v>
      </c>
      <c r="G135" s="5" t="e">
        <f>BIN2HEX(MID(G130,25,8),2)</f>
        <v>#REF!</v>
      </c>
    </row>
    <row r="136" spans="1:8" x14ac:dyDescent="0.35">
      <c r="D136" s="19"/>
    </row>
    <row r="137" spans="1:8" x14ac:dyDescent="0.35">
      <c r="D137" s="19"/>
    </row>
    <row r="138" spans="1:8" x14ac:dyDescent="0.35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5" t="str">
        <f>_xlfn.CONCAT(F138:F144)</f>
        <v>00000000000000000000000000000000</v>
      </c>
    </row>
    <row r="139" spans="1:8" x14ac:dyDescent="0.35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 x14ac:dyDescent="0.35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_xlfn.CONCAT(G140:G143)</f>
        <v>00000000</v>
      </c>
    </row>
    <row r="141" spans="1:8" x14ac:dyDescent="0.35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 x14ac:dyDescent="0.35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 x14ac:dyDescent="0.35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 x14ac:dyDescent="0.35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 x14ac:dyDescent="0.35">
      <c r="D145" s="19"/>
    </row>
    <row r="146" spans="1:8" x14ac:dyDescent="0.35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5" t="str">
        <f>_xlfn.CONCAT(F146:F149)</f>
        <v>00000000000000000000000000000000</v>
      </c>
    </row>
    <row r="147" spans="1:8" ht="43.5" x14ac:dyDescent="0.35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_xlfn.CONCAT(G147:G150)</f>
        <v>00000000</v>
      </c>
    </row>
    <row r="148" spans="1:8" x14ac:dyDescent="0.35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43.5" x14ac:dyDescent="0.35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 x14ac:dyDescent="0.35">
      <c r="D150" s="19"/>
      <c r="G150" s="5" t="str">
        <f>BIN2HEX(MID(G146,25,8),2)</f>
        <v>00</v>
      </c>
    </row>
    <row r="151" spans="1:8" ht="58" x14ac:dyDescent="0.35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5" t="str">
        <f>_xlfn.CONCAT(F151:F157)</f>
        <v>00000000000000000000000000000000</v>
      </c>
    </row>
    <row r="152" spans="1:8" x14ac:dyDescent="0.35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 x14ac:dyDescent="0.35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0</v>
      </c>
      <c r="F153" s="5" t="str">
        <f>DEC2BIN(D153,2)</f>
        <v>00</v>
      </c>
      <c r="G153" s="5" t="str">
        <f>BIN2HEX(MID(G151,1,8),2)</f>
        <v>00</v>
      </c>
      <c r="H153" s="5" t="str">
        <f>_xlfn.CONCAT(G153:G156)</f>
        <v>00000000</v>
      </c>
    </row>
    <row r="154" spans="1:8" x14ac:dyDescent="0.35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0</v>
      </c>
      <c r="E154" s="22"/>
      <c r="F154" s="5" t="str">
        <f>DEC2BIN(D154,10)</f>
        <v>0000000000</v>
      </c>
      <c r="G154" s="5" t="str">
        <f>BIN2HEX(MID(G151,9,8),2)</f>
        <v>00</v>
      </c>
    </row>
    <row r="155" spans="1:8" x14ac:dyDescent="0.35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 x14ac:dyDescent="0.35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00</v>
      </c>
    </row>
    <row r="157" spans="1:8" x14ac:dyDescent="0.35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0</v>
      </c>
      <c r="F157" s="5" t="str">
        <f>DEC2BIN(D157,10)</f>
        <v>0000000000</v>
      </c>
    </row>
    <row r="158" spans="1:8" x14ac:dyDescent="0.35">
      <c r="D158" s="19"/>
    </row>
    <row r="159" spans="1:8" x14ac:dyDescent="0.35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5" t="str">
        <f>_xlfn.CONCAT(F159:F162)</f>
        <v>00000000000000000000000000000000</v>
      </c>
    </row>
    <row r="160" spans="1:8" x14ac:dyDescent="0.35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_xlfn.CONCAT(G160:G163)</f>
        <v>00000000</v>
      </c>
    </row>
    <row r="161" spans="1:8" x14ac:dyDescent="0.35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 x14ac:dyDescent="0.35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 x14ac:dyDescent="0.35">
      <c r="D163" s="19"/>
      <c r="G163" s="5" t="str">
        <f>BIN2HEX(MID(G159,25,8),2)</f>
        <v>00</v>
      </c>
    </row>
    <row r="164" spans="1:8" x14ac:dyDescent="0.35">
      <c r="A164" s="5" t="s">
        <v>77</v>
      </c>
      <c r="B164" s="5">
        <v>31</v>
      </c>
      <c r="C164" s="5" t="s">
        <v>238</v>
      </c>
      <c r="D164" s="19">
        <f>Parameters!D34</f>
        <v>0</v>
      </c>
      <c r="E164" s="5" t="s">
        <v>245</v>
      </c>
      <c r="F164" s="5" t="str">
        <f>DEC2BIN(D164,1)</f>
        <v>0</v>
      </c>
    </row>
    <row r="165" spans="1:8" x14ac:dyDescent="0.35">
      <c r="B165" s="5">
        <v>30</v>
      </c>
      <c r="C165" s="5" t="s">
        <v>241</v>
      </c>
      <c r="D165" s="19">
        <f>Parameters!D35</f>
        <v>0</v>
      </c>
      <c r="E165" s="5" t="s">
        <v>245</v>
      </c>
      <c r="F165" s="5" t="str">
        <f>DEC2BIN(D165,1)</f>
        <v>0</v>
      </c>
      <c r="G165" s="5" t="str">
        <f>BIN2HEX(_xlfn.CONCAT(F164:F167),1)</f>
        <v>0</v>
      </c>
    </row>
    <row r="166" spans="1:8" x14ac:dyDescent="0.35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>DEC2BIN(D166,1)</f>
        <v>0</v>
      </c>
      <c r="G166" s="5" t="str">
        <f>DEC2HEX(D168+D169+D170,3)</f>
        <v>000</v>
      </c>
      <c r="H166" s="5" t="str">
        <f>_xlfn.CONCAT(G165:G167)</f>
        <v>00000000</v>
      </c>
    </row>
    <row r="167" spans="1:8" x14ac:dyDescent="0.35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>DEC2BIN(D167,1)</f>
        <v>0</v>
      </c>
      <c r="G167" s="5" t="str">
        <f>DEC2HEX(D172+D171,4)</f>
        <v>0000</v>
      </c>
    </row>
    <row r="168" spans="1:8" x14ac:dyDescent="0.35">
      <c r="B168" s="5">
        <v>27</v>
      </c>
      <c r="C168" s="19" t="s">
        <v>129</v>
      </c>
      <c r="D168" s="19">
        <v>0</v>
      </c>
      <c r="F168" s="5" t="str">
        <f>DEC2BIN(D168,1)</f>
        <v>0</v>
      </c>
    </row>
    <row r="169" spans="1:8" x14ac:dyDescent="0.35">
      <c r="C169" s="19"/>
      <c r="D169" s="19">
        <v>0</v>
      </c>
      <c r="F169" s="5" t="str">
        <f t="shared" ref="F169" si="6">DEC2BIN(D169,1)</f>
        <v>0</v>
      </c>
    </row>
    <row r="170" spans="1:8" x14ac:dyDescent="0.35">
      <c r="B170" s="5" t="s">
        <v>239</v>
      </c>
      <c r="C170" s="19" t="s">
        <v>244</v>
      </c>
      <c r="D170" s="5">
        <f>IF(Parameters!B6=0,ROUNDUP(Parameters!D77/2,0),ROUNDUP(Parameters!D64/2,0))</f>
        <v>0</v>
      </c>
      <c r="F170" s="5" t="str">
        <f>DEC2BIN(D170,10)</f>
        <v>0000000000</v>
      </c>
    </row>
    <row r="171" spans="1:8" x14ac:dyDescent="0.35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 x14ac:dyDescent="0.35">
      <c r="B172" s="5" t="s">
        <v>222</v>
      </c>
      <c r="C172" s="19" t="s">
        <v>246</v>
      </c>
      <c r="D172" s="5">
        <f>IF(Parameters!B6=0,ROUNDUP(Parameters!D78/2,0),ROUNDUP(Parameters!D65/2,0))</f>
        <v>0</v>
      </c>
      <c r="F172" s="5" t="str">
        <f t="shared" ref="F172:F177" si="7">DEC2BIN(D172,10)</f>
        <v>0000000000</v>
      </c>
    </row>
    <row r="174" spans="1:8" x14ac:dyDescent="0.35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5" t="str">
        <f>_xlfn.CONCAT(F174:F177)</f>
        <v>00000000000000000000000000000000</v>
      </c>
    </row>
    <row r="175" spans="1:8" x14ac:dyDescent="0.35">
      <c r="B175" s="5" t="s">
        <v>216</v>
      </c>
      <c r="C175" s="5" t="s">
        <v>248</v>
      </c>
      <c r="D175" s="5">
        <f>ROUNDUP(Parameters!D66/2,0)</f>
        <v>0</v>
      </c>
      <c r="F175" s="5" t="str">
        <f t="shared" si="7"/>
        <v>0000000000</v>
      </c>
      <c r="G175" s="5" t="str">
        <f>BIN2HEX(MID(G174,1,8),2)</f>
        <v>00</v>
      </c>
      <c r="H175" s="5" t="str">
        <f>_xlfn.CONCAT(G175:G178)</f>
        <v>00000000</v>
      </c>
    </row>
    <row r="176" spans="1:8" x14ac:dyDescent="0.35">
      <c r="D176" s="5">
        <v>0</v>
      </c>
      <c r="F176" s="5" t="str">
        <f t="shared" si="7"/>
        <v>0000000000</v>
      </c>
      <c r="G176" s="5" t="str">
        <f>BIN2HEX(MID(G174,9,8),2)</f>
        <v>00</v>
      </c>
    </row>
    <row r="177" spans="1:8" x14ac:dyDescent="0.35">
      <c r="B177" s="5" t="s">
        <v>247</v>
      </c>
      <c r="C177" s="19" t="s">
        <v>250</v>
      </c>
      <c r="D177" s="5">
        <f>IF(D164=1,0,Parameters!D37)</f>
        <v>0</v>
      </c>
      <c r="F177" s="5" t="str">
        <f t="shared" si="7"/>
        <v>0000000000</v>
      </c>
      <c r="G177" s="5" t="str">
        <f>BIN2HEX(MID(G174,17,8),2)</f>
        <v>00</v>
      </c>
    </row>
    <row r="178" spans="1:8" x14ac:dyDescent="0.35">
      <c r="G178" s="5" t="str">
        <f>BIN2HEX(MID(G174,25,8),2)</f>
        <v>00</v>
      </c>
    </row>
    <row r="179" spans="1:8" x14ac:dyDescent="0.35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5" t="str">
        <f>_xlfn.CONCAT(F179:F187)</f>
        <v>000000100111111110100000000001111111101</v>
      </c>
    </row>
    <row r="180" spans="1:8" x14ac:dyDescent="0.35">
      <c r="B180" s="5" t="s">
        <v>226</v>
      </c>
      <c r="C180" s="5" t="s">
        <v>259</v>
      </c>
      <c r="D180" s="5">
        <f>ROUNDUP(Parameters!D122/2,0)</f>
        <v>2</v>
      </c>
      <c r="F180" s="5" t="str">
        <f>DEC2BIN(D180,5)</f>
        <v>00010</v>
      </c>
    </row>
    <row r="181" spans="1:8" x14ac:dyDescent="0.35">
      <c r="B181" s="5">
        <v>23</v>
      </c>
      <c r="C181" s="5" t="s">
        <v>263</v>
      </c>
      <c r="D181" s="5">
        <f>Parameters!D110</f>
        <v>0</v>
      </c>
      <c r="E181" s="5" t="s">
        <v>245</v>
      </c>
      <c r="F181" s="5" t="str">
        <f>DEC2BIN(D181,1)</f>
        <v>0</v>
      </c>
      <c r="G181" s="5" t="str">
        <f>BIN2HEX(MID(G179,1,8),2)</f>
        <v>02</v>
      </c>
      <c r="H181" s="5" t="str">
        <f>_xlfn.CONCAT(G181:G184)</f>
        <v>027FA007</v>
      </c>
    </row>
    <row r="182" spans="1:8" x14ac:dyDescent="0.35">
      <c r="B182" s="5" t="s">
        <v>268</v>
      </c>
      <c r="C182" s="5" t="s">
        <v>260</v>
      </c>
      <c r="D182" s="5">
        <f>IF(D181=0,ROUNDUP(Parameters!D123/2,0),Parameters!D123)</f>
        <v>-3</v>
      </c>
      <c r="F182" s="5" t="str">
        <f>DEC2BIN(D182,7)</f>
        <v>1111111101</v>
      </c>
      <c r="G182" s="5" t="str">
        <f>BIN2HEX(MID(G179,9,8),2)</f>
        <v>7F</v>
      </c>
    </row>
    <row r="183" spans="1:8" x14ac:dyDescent="0.35">
      <c r="B183" s="5">
        <v>15</v>
      </c>
      <c r="C183" s="5" t="s">
        <v>264</v>
      </c>
      <c r="D183" s="5">
        <f>Parameters!D111</f>
        <v>0</v>
      </c>
      <c r="E183" s="5" t="s">
        <v>245</v>
      </c>
      <c r="F183" s="5" t="str">
        <f>DEC2BIN(D183,1)</f>
        <v>0</v>
      </c>
      <c r="G183" s="5" t="str">
        <f>BIN2HEX(MID(G179,17,8),2)</f>
        <v>A0</v>
      </c>
    </row>
    <row r="184" spans="1:8" x14ac:dyDescent="0.35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07</v>
      </c>
    </row>
    <row r="185" spans="1:8" x14ac:dyDescent="0.35">
      <c r="B185" s="5" t="s">
        <v>149</v>
      </c>
      <c r="C185" s="5" t="s">
        <v>261</v>
      </c>
      <c r="D185" s="5">
        <f>IF(D183=0,ROUNDUP(Parameters!D106/2,0),Parameters!D106)</f>
        <v>0</v>
      </c>
      <c r="F185" s="5" t="str">
        <f>DEC2BIN(D185,6)</f>
        <v>000000</v>
      </c>
    </row>
    <row r="186" spans="1:8" x14ac:dyDescent="0.35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 x14ac:dyDescent="0.35">
      <c r="B187" s="5" t="s">
        <v>197</v>
      </c>
      <c r="C187" s="5" t="s">
        <v>262</v>
      </c>
      <c r="D187" s="5">
        <f>IF(D183=0,ROUNDUP(Parameters!D124/2,0),Parameters!D124)</f>
        <v>-3</v>
      </c>
      <c r="F187" s="5" t="str">
        <f>DEC2BIN(D187,6)</f>
        <v>1111111101</v>
      </c>
    </row>
    <row r="189" spans="1:8" x14ac:dyDescent="0.35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5" t="str">
        <f>_xlfn.CONCAT(F189:F197)</f>
        <v>00000000000001010000000100000001</v>
      </c>
    </row>
    <row r="190" spans="1:8" x14ac:dyDescent="0.35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 x14ac:dyDescent="0.35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_xlfn.CONCAT(G191:G194)</f>
        <v>00050101</v>
      </c>
    </row>
    <row r="192" spans="1:8" x14ac:dyDescent="0.35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05</v>
      </c>
    </row>
    <row r="193" spans="1:8" x14ac:dyDescent="0.35">
      <c r="B193" s="5" t="s">
        <v>200</v>
      </c>
      <c r="C193" s="5" t="s">
        <v>265</v>
      </c>
      <c r="D193" s="5">
        <f>IF(D183=1,ROUNDUP(Parameters!D125/2,0)+1,ROUNDUP(Parameters!D125/2,0))</f>
        <v>5</v>
      </c>
      <c r="F193" s="5" t="str">
        <f>DEC2BIN(D193,5)</f>
        <v>00101</v>
      </c>
      <c r="G193" s="5" t="str">
        <f>BIN2HEX(MID(G189,17,8),2)</f>
        <v>01</v>
      </c>
    </row>
    <row r="194" spans="1:8" x14ac:dyDescent="0.35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01</v>
      </c>
    </row>
    <row r="195" spans="1:8" x14ac:dyDescent="0.35">
      <c r="B195" s="5" t="s">
        <v>274</v>
      </c>
      <c r="C195" s="5" t="s">
        <v>266</v>
      </c>
      <c r="D195" s="5">
        <f>ROUNDUP(Parameters!D126/2,0)</f>
        <v>1</v>
      </c>
      <c r="F195" s="5" t="str">
        <f>DEC2BIN(D195,5)</f>
        <v>00001</v>
      </c>
    </row>
    <row r="196" spans="1:8" x14ac:dyDescent="0.35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 x14ac:dyDescent="0.35">
      <c r="B197" s="5" t="s">
        <v>134</v>
      </c>
      <c r="C197" s="5" t="s">
        <v>267</v>
      </c>
      <c r="D197" s="5">
        <f>ROUNDUP(Parameters!D127/2,0)</f>
        <v>1</v>
      </c>
      <c r="F197" s="5" t="str">
        <f>DEC2BIN(D197,5)</f>
        <v>00001</v>
      </c>
    </row>
    <row r="200" spans="1:8" x14ac:dyDescent="0.35">
      <c r="A200" s="5" t="s">
        <v>81</v>
      </c>
      <c r="B200" s="5">
        <v>31</v>
      </c>
      <c r="C200" s="5" t="s">
        <v>278</v>
      </c>
      <c r="D200" s="5">
        <f>Parameters!D112</f>
        <v>0</v>
      </c>
      <c r="E200" s="5" t="s">
        <v>211</v>
      </c>
      <c r="F200" s="5" t="str">
        <f>DEC2BIN(D200,1)</f>
        <v>0</v>
      </c>
      <c r="G200" s="5" t="str">
        <f>_xlfn.CONCAT(F200:F206)</f>
        <v>00000000000000000000000000000000</v>
      </c>
    </row>
    <row r="201" spans="1:8" x14ac:dyDescent="0.35">
      <c r="B201" s="5">
        <v>30</v>
      </c>
      <c r="C201" s="5" t="s">
        <v>279</v>
      </c>
      <c r="D201" s="5">
        <f>Parameters!D113</f>
        <v>0</v>
      </c>
      <c r="E201" s="5" t="s">
        <v>211</v>
      </c>
      <c r="F201" s="5" t="str">
        <f>DEC2BIN(D201,1)</f>
        <v>0</v>
      </c>
    </row>
    <row r="202" spans="1:8" x14ac:dyDescent="0.35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00</v>
      </c>
      <c r="H202" s="5" t="str">
        <f>_xlfn.CONCAT(G202:G205)</f>
        <v>00000000</v>
      </c>
    </row>
    <row r="203" spans="1:8" x14ac:dyDescent="0.35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00</v>
      </c>
    </row>
    <row r="204" spans="1:8" x14ac:dyDescent="0.35">
      <c r="B204" s="5" t="s">
        <v>138</v>
      </c>
      <c r="C204" s="5" t="s">
        <v>281</v>
      </c>
      <c r="D204" s="5">
        <f>Parameters!D107</f>
        <v>0</v>
      </c>
      <c r="F204" s="5" t="str">
        <f>DEC2BIN(D204,10)</f>
        <v>0000000000</v>
      </c>
      <c r="G204" s="5" t="str">
        <f>BIN2HEX(MID(G200,17,8),2)</f>
        <v>00</v>
      </c>
    </row>
    <row r="205" spans="1:8" x14ac:dyDescent="0.35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00</v>
      </c>
    </row>
    <row r="206" spans="1:8" x14ac:dyDescent="0.35">
      <c r="B206" s="5" t="s">
        <v>222</v>
      </c>
      <c r="C206" s="5" t="s">
        <v>282</v>
      </c>
      <c r="D206" s="5">
        <f>Parameters!D108</f>
        <v>0</v>
      </c>
      <c r="F206" s="5" t="str">
        <f>DEC2BIN(D206,10)</f>
        <v>0000000000</v>
      </c>
    </row>
    <row r="209" spans="1:8" x14ac:dyDescent="0.35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5" t="str">
        <f>_xlfn.CONCAT(F209:F213)</f>
        <v>000000000000000001111111011001111111011</v>
      </c>
    </row>
    <row r="210" spans="1:8" x14ac:dyDescent="0.35">
      <c r="C210" s="5" t="s">
        <v>294</v>
      </c>
      <c r="D210" s="5">
        <v>0</v>
      </c>
      <c r="F210" s="5" t="str">
        <f>DEC2BIN(D210,7)</f>
        <v>0000000</v>
      </c>
    </row>
    <row r="211" spans="1:8" x14ac:dyDescent="0.35">
      <c r="B211" s="5" t="s">
        <v>194</v>
      </c>
      <c r="C211" s="5" t="s">
        <v>284</v>
      </c>
      <c r="D211" s="5">
        <f>Parameters!D128</f>
        <v>-5</v>
      </c>
      <c r="E211" s="5" t="s">
        <v>428</v>
      </c>
      <c r="F211" s="5" t="str">
        <f>DEC2BIN(D211,7)</f>
        <v>1111111011</v>
      </c>
      <c r="G211" s="5" t="str">
        <f>BIN2HEX(MID(G209,1,8),2)</f>
        <v>00</v>
      </c>
    </row>
    <row r="212" spans="1:8" x14ac:dyDescent="0.35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_xlfn.CONCAT(G211:G214)</f>
        <v>00007F67</v>
      </c>
    </row>
    <row r="213" spans="1:8" x14ac:dyDescent="0.35">
      <c r="B213" s="5" t="s">
        <v>197</v>
      </c>
      <c r="C213" s="5" t="s">
        <v>285</v>
      </c>
      <c r="D213" s="5">
        <f>Parameters!D129</f>
        <v>-5</v>
      </c>
      <c r="E213" s="5" t="s">
        <v>428</v>
      </c>
      <c r="F213" s="5" t="str">
        <f>DEC2BIN(D213,6)</f>
        <v>1111111011</v>
      </c>
      <c r="G213" s="5" t="str">
        <f>BIN2HEX(MID(G209,17,8),2)</f>
        <v>7F</v>
      </c>
    </row>
    <row r="214" spans="1:8" x14ac:dyDescent="0.35">
      <c r="G214" s="5" t="str">
        <f>BIN2HEX(MID(G209,25,8),2)</f>
        <v>67</v>
      </c>
    </row>
    <row r="215" spans="1:8" x14ac:dyDescent="0.35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5" t="str">
        <f>_xlfn.CONCAT(F215:F218)</f>
        <v>00000000000000000000000000000000</v>
      </c>
    </row>
    <row r="216" spans="1:8" x14ac:dyDescent="0.35">
      <c r="D216" s="5">
        <v>0</v>
      </c>
      <c r="F216" s="5" t="str">
        <f>DEC2BIN(D216,10)</f>
        <v>0000000000</v>
      </c>
    </row>
    <row r="217" spans="1:8" x14ac:dyDescent="0.35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 x14ac:dyDescent="0.35">
      <c r="B218" s="5" t="s">
        <v>134</v>
      </c>
      <c r="C218" s="5" t="s">
        <v>363</v>
      </c>
      <c r="D218" s="5">
        <f>IF(Parameters!B6=0,ROUNDUP(Parameters!D109/2,0),0)</f>
        <v>0</v>
      </c>
      <c r="F218" s="5" t="str">
        <f>DEC2BIN(D218,5)</f>
        <v>00000</v>
      </c>
      <c r="G218" s="5" t="str">
        <f>BIN2HEX(MID(G215,9,8),2)</f>
        <v>00</v>
      </c>
      <c r="H218" s="5" t="str">
        <f>_xlfn.CONCAT(G217:G220)</f>
        <v>00000000</v>
      </c>
    </row>
    <row r="219" spans="1:8" x14ac:dyDescent="0.35">
      <c r="G219" s="5" t="str">
        <f>BIN2HEX(MID(G215,17,8),2)</f>
        <v>00</v>
      </c>
    </row>
    <row r="220" spans="1:8" x14ac:dyDescent="0.35">
      <c r="G220" s="5" t="str">
        <f>BIN2HEX(MID(G215,25,8),2)</f>
        <v>00</v>
      </c>
    </row>
    <row r="222" spans="1:8" x14ac:dyDescent="0.35">
      <c r="A222" s="5" t="s">
        <v>471</v>
      </c>
      <c r="B222" s="5" t="s">
        <v>137</v>
      </c>
      <c r="C222" s="5" t="s">
        <v>472</v>
      </c>
      <c r="F222" s="5" t="e">
        <f>IF(Parameters!B6=0,LU!O2,LU!G2)</f>
        <v>#N/A</v>
      </c>
      <c r="G222" s="5" t="e">
        <f>_xlfn.CONCAT(F222:F226)</f>
        <v>#N/A</v>
      </c>
    </row>
    <row r="223" spans="1:8" x14ac:dyDescent="0.35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e">
        <f>BIN2HEX(MID(G222,1,8),2)</f>
        <v>#N/A</v>
      </c>
      <c r="H223" s="5" t="e">
        <f>_xlfn.CONCAT(G223:G226)</f>
        <v>#N/A</v>
      </c>
    </row>
    <row r="224" spans="1:8" x14ac:dyDescent="0.35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e">
        <f>BIN2HEX(MID(G222,9,8),2)</f>
        <v>#N/A</v>
      </c>
    </row>
    <row r="225" spans="1:8" x14ac:dyDescent="0.35">
      <c r="B225" s="5" t="s">
        <v>138</v>
      </c>
      <c r="C225" s="5" t="s">
        <v>474</v>
      </c>
      <c r="D225" s="5">
        <f>ROUNDUP((Parameters!D38/1024)/2,0)+1</f>
        <v>1</v>
      </c>
      <c r="F225" s="5" t="str">
        <f>DEC2BIN(D225,10)</f>
        <v>0000000001</v>
      </c>
      <c r="G225" s="5" t="e">
        <f>BIN2HEX(MID(G222,17,4))</f>
        <v>#N/A</v>
      </c>
    </row>
    <row r="226" spans="1:8" x14ac:dyDescent="0.35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001</v>
      </c>
    </row>
    <row r="227" spans="1:8" x14ac:dyDescent="0.35">
      <c r="B227" s="5" t="s">
        <v>139</v>
      </c>
      <c r="C227" s="5" t="s">
        <v>475</v>
      </c>
      <c r="D227" s="5">
        <f>ROUNDUP(ROUNDUP((Parameters!D39)/2,0)/1024,0)+1</f>
        <v>1</v>
      </c>
      <c r="F227" s="5" t="str">
        <f>DEC2BIN(D227,10)</f>
        <v>0000000001</v>
      </c>
    </row>
    <row r="229" spans="1:8" x14ac:dyDescent="0.35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0001</v>
      </c>
      <c r="H229" s="5" t="str">
        <f>_xlfn.CONCAT(G229:G230)</f>
        <v>00010000</v>
      </c>
    </row>
    <row r="230" spans="1:8" x14ac:dyDescent="0.35">
      <c r="B230" s="5" t="s">
        <v>485</v>
      </c>
      <c r="C230" s="5" t="s">
        <v>482</v>
      </c>
      <c r="D230" s="5">
        <f>ROUNDUP(ROUNDUP(Parameters!D40/2,0)/1024,0)+1</f>
        <v>1</v>
      </c>
      <c r="G230" s="5" t="str">
        <f>DEC2HEX((D231+D232),4)</f>
        <v>0000</v>
      </c>
    </row>
    <row r="231" spans="1:8" x14ac:dyDescent="0.35">
      <c r="B231" s="5" t="s">
        <v>147</v>
      </c>
      <c r="C231" s="5" t="s">
        <v>473</v>
      </c>
      <c r="D231" s="5">
        <v>0</v>
      </c>
    </row>
    <row r="232" spans="1:8" x14ac:dyDescent="0.35">
      <c r="B232" s="5" t="s">
        <v>158</v>
      </c>
      <c r="C232" s="5" t="s">
        <v>483</v>
      </c>
      <c r="D232" s="5">
        <f>0</f>
        <v>0</v>
      </c>
    </row>
    <row r="234" spans="1:8" x14ac:dyDescent="0.35">
      <c r="A234" s="5" t="s">
        <v>488</v>
      </c>
      <c r="B234" s="66" t="s">
        <v>486</v>
      </c>
      <c r="C234" s="5" t="s">
        <v>491</v>
      </c>
      <c r="D234" s="69" t="e">
        <f>IF(Parameters!B6=0,_xlfn.CONCAT(LU!P8,LU!P9),BIN2HEX(_xlfn.CONCAT(LU!G22,LU!G14,LU!G12,LU!G10,LU!G6,),4))</f>
        <v>#N/A</v>
      </c>
      <c r="E234" s="5" t="e">
        <f>_xlfn.CONCAT(D234:D235)</f>
        <v>#N/A</v>
      </c>
    </row>
    <row r="235" spans="1:8" x14ac:dyDescent="0.35">
      <c r="B235" s="7" t="s">
        <v>490</v>
      </c>
      <c r="C235" s="5" t="s">
        <v>492</v>
      </c>
      <c r="D235" s="69" t="e">
        <f>IF(Parameters!B6=0,_xlfn.CONCAT(LU!P52:P53),BIN2HEX(_xlfn.CONCAT(LU!G24,LU!G26,LU!G28,LU!G36,),4))</f>
        <v>#N/A</v>
      </c>
    </row>
    <row r="236" spans="1:8" x14ac:dyDescent="0.35">
      <c r="B236" s="7"/>
    </row>
    <row r="237" spans="1:8" x14ac:dyDescent="0.35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5" t="str">
        <f>_xlfn.CONCAT(F237:F240)</f>
        <v>00000000000000010000000000000000</v>
      </c>
    </row>
    <row r="238" spans="1:8" x14ac:dyDescent="0.35">
      <c r="B238" s="7" t="s">
        <v>131</v>
      </c>
      <c r="C238" s="5" t="s">
        <v>631</v>
      </c>
      <c r="D238" s="5">
        <f>ROUNDUP(ROUNDUP(Parameters!D68/2,0)/32,0)+1</f>
        <v>1</v>
      </c>
      <c r="F238" s="5" t="str">
        <f t="shared" ref="F238" si="8">DEC2BIN(D238,8)</f>
        <v>00000001</v>
      </c>
      <c r="G238" s="5" t="str">
        <f>BIN2HEX(MID(G237,1,8),2)</f>
        <v>00</v>
      </c>
    </row>
    <row r="239" spans="1:8" x14ac:dyDescent="0.35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01</v>
      </c>
      <c r="H239" s="5" t="str">
        <f>_xlfn.CONCAT(G238:G241)</f>
        <v>00010000</v>
      </c>
    </row>
    <row r="240" spans="1:8" x14ac:dyDescent="0.35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 x14ac:dyDescent="0.35">
      <c r="B241" s="7"/>
      <c r="G241" s="5" t="str">
        <f>BIN2HEX(MID(G237,25,8),2)</f>
        <v>00</v>
      </c>
    </row>
    <row r="242" spans="1:8" x14ac:dyDescent="0.35">
      <c r="A242" s="5" t="s">
        <v>543</v>
      </c>
      <c r="B242" s="66" t="s">
        <v>486</v>
      </c>
      <c r="C242" s="5" t="s">
        <v>544</v>
      </c>
      <c r="D242" s="69" t="e">
        <f>IF(Parameters!B6=0,_xlfn.CONCAT(LU!P73:P74),BIN2HEX(_xlfn.CONCAT(LU!G44,LU!G46,LU!G48,LU!G56,LU!G58,LU!G60),4))</f>
        <v>#N/A</v>
      </c>
      <c r="E242" s="5" t="e">
        <f>_xlfn.CONCAT(D242:D243)</f>
        <v>#N/A</v>
      </c>
    </row>
    <row r="243" spans="1:8" x14ac:dyDescent="0.35">
      <c r="B243" s="7" t="s">
        <v>490</v>
      </c>
      <c r="C243" s="5" t="s">
        <v>545</v>
      </c>
      <c r="D243" s="69" t="e">
        <f>IF(Parameters!B6=0,_xlfn.CONCAT(LU!P92:P93),BIN2HEX(_xlfn.CONCAT(LU!G76,LU!G74,LU!G72,LU!G70,LU!G68,LU!G66,LU!G64,LU!G62),4))</f>
        <v>#N/A</v>
      </c>
    </row>
    <row r="244" spans="1:8" x14ac:dyDescent="0.35">
      <c r="B244" s="7"/>
      <c r="D244" s="69"/>
    </row>
    <row r="245" spans="1:8" x14ac:dyDescent="0.35">
      <c r="A245" s="5" t="s">
        <v>568</v>
      </c>
      <c r="B245" s="66" t="s">
        <v>486</v>
      </c>
      <c r="C245" s="5" t="s">
        <v>577</v>
      </c>
      <c r="D245" s="5" t="e">
        <f>IF(Parameters!B6=0,_xlfn.CONCAT(LU!P115:P116),BIN2HEX(LU!H79,4))</f>
        <v>#N/A</v>
      </c>
      <c r="E245" s="5" t="e">
        <f>_xlfn.CONCAT(D245:D246)</f>
        <v>#N/A</v>
      </c>
    </row>
    <row r="246" spans="1:8" x14ac:dyDescent="0.35">
      <c r="B246" s="7" t="s">
        <v>490</v>
      </c>
      <c r="C246" s="5" t="s">
        <v>578</v>
      </c>
      <c r="D246" s="5" t="e">
        <f>IF(Parameters!B6=0,_xlfn.CONCAT(LU!P141:P142),BIN2HEX(_xlfn.CONCAT(LU!G98,LU!G100),4))</f>
        <v>#N/A</v>
      </c>
    </row>
    <row r="248" spans="1:8" x14ac:dyDescent="0.35">
      <c r="A248" s="5" t="s">
        <v>570</v>
      </c>
      <c r="B248" s="66" t="s">
        <v>486</v>
      </c>
      <c r="C248" s="5" t="s">
        <v>584</v>
      </c>
      <c r="D248" s="5" t="str">
        <f>IF(Parameters!B6=0,"0000",BIN2HEX(_xlfn.CONCAT(LU!G151,LU!G152,LU!G154,LU!G156,LU!G158),4))</f>
        <v>0000</v>
      </c>
      <c r="E248" s="5" t="e">
        <f>_xlfn.CONCAT(D248:D249)</f>
        <v>#N/A</v>
      </c>
      <c r="F248" s="5" t="s">
        <v>375</v>
      </c>
    </row>
    <row r="249" spans="1:8" x14ac:dyDescent="0.35">
      <c r="B249" s="7" t="s">
        <v>490</v>
      </c>
      <c r="C249" s="5" t="s">
        <v>585</v>
      </c>
      <c r="D249" s="5" t="e">
        <f>IF(Parameters!B6=0,_xlfn.CONCAT(LU!P168:P169),BIN2HEX(_xlfn.CONCAT(LU!G166,LU!G168),4))</f>
        <v>#N/A</v>
      </c>
    </row>
    <row r="251" spans="1:8" x14ac:dyDescent="0.35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5" t="str">
        <f>_xlfn.CONCAT(F251:F257)</f>
        <v>00000000000111110001111100011111</v>
      </c>
    </row>
    <row r="252" spans="1:8" x14ac:dyDescent="0.35">
      <c r="D252" s="5">
        <v>0</v>
      </c>
      <c r="F252" s="5" t="str">
        <f>DEC2BIN(D252,1)</f>
        <v>0</v>
      </c>
    </row>
    <row r="253" spans="1:8" x14ac:dyDescent="0.35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_xlfn.CONCAT(G253:G256)</f>
        <v>001F1F1F</v>
      </c>
    </row>
    <row r="254" spans="1:8" x14ac:dyDescent="0.35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 x14ac:dyDescent="0.35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 x14ac:dyDescent="0.35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1F</v>
      </c>
    </row>
    <row r="257" spans="1:8" x14ac:dyDescent="0.35">
      <c r="B257" s="5" t="s">
        <v>134</v>
      </c>
      <c r="C257" s="5" t="s">
        <v>797</v>
      </c>
      <c r="D257" s="5">
        <f>LU!U3</f>
        <v>31</v>
      </c>
      <c r="F257" s="5" t="str">
        <f>DEC2BIN(D257,5)</f>
        <v>11111</v>
      </c>
    </row>
    <row r="259" spans="1:8" x14ac:dyDescent="0.35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5" t="str">
        <f>_xlfn.CONCAT(F259:F264)</f>
        <v>00000000001111110011111100111111</v>
      </c>
    </row>
    <row r="260" spans="1:8" x14ac:dyDescent="0.35">
      <c r="B260" s="5" t="s">
        <v>178</v>
      </c>
      <c r="C260" s="5" t="s">
        <v>810</v>
      </c>
      <c r="D260" s="5">
        <f>LU!V3</f>
        <v>63</v>
      </c>
      <c r="F260" s="5" t="str">
        <f>DEC2BIN(D260,6)</f>
        <v>111111</v>
      </c>
    </row>
    <row r="261" spans="1:8" x14ac:dyDescent="0.35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_xlfn.CONCAT(G261:G264)</f>
        <v>003F3F3F</v>
      </c>
    </row>
    <row r="262" spans="1:8" x14ac:dyDescent="0.35">
      <c r="B262" s="5" t="s">
        <v>149</v>
      </c>
      <c r="C262" s="5" t="s">
        <v>811</v>
      </c>
      <c r="D262" s="5">
        <f>LU!W3</f>
        <v>63</v>
      </c>
      <c r="F262" s="5" t="str">
        <f>DEC2BIN(D262,6)</f>
        <v>111111</v>
      </c>
      <c r="G262" s="5" t="str">
        <f>BIN2HEX(MID(G259,9,8),2)</f>
        <v>3F</v>
      </c>
    </row>
    <row r="263" spans="1:8" x14ac:dyDescent="0.35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3F</v>
      </c>
    </row>
    <row r="264" spans="1:8" x14ac:dyDescent="0.35">
      <c r="B264" s="5" t="s">
        <v>197</v>
      </c>
      <c r="C264" s="5" t="s">
        <v>813</v>
      </c>
      <c r="D264" s="5">
        <f>LU!X3</f>
        <v>63</v>
      </c>
      <c r="F264" s="5" t="str">
        <f>DEC2BIN(D264,6)</f>
        <v>111111</v>
      </c>
      <c r="G264" s="5" t="str">
        <f>BIN2HEX(MID(G259,25,8),2)</f>
        <v>3F</v>
      </c>
    </row>
    <row r="266" spans="1:8" x14ac:dyDescent="0.35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5" t="e">
        <f>_xlfn.CONCAT(F266:F273)</f>
        <v>#VALUE!</v>
      </c>
    </row>
    <row r="267" spans="1:8" x14ac:dyDescent="0.35">
      <c r="B267" s="5" t="s">
        <v>143</v>
      </c>
      <c r="C267" s="5" t="s">
        <v>827</v>
      </c>
      <c r="D267" s="5" t="e">
        <f>LU!AB3</f>
        <v>#VALUE!</v>
      </c>
      <c r="F267" s="5" t="e">
        <f>DEC2BIN(D267,4)</f>
        <v>#VALUE!</v>
      </c>
    </row>
    <row r="268" spans="1:8" x14ac:dyDescent="0.35">
      <c r="B268" s="5" t="s">
        <v>144</v>
      </c>
      <c r="C268" s="5" t="s">
        <v>473</v>
      </c>
      <c r="D268" s="5">
        <v>0</v>
      </c>
      <c r="F268" s="5" t="str">
        <f t="shared" ref="F268:F273" si="9">DEC2BIN(D268,4)</f>
        <v>0000</v>
      </c>
      <c r="G268" s="5" t="e">
        <f>BIN2HEX(MID(G266,1,8),2)</f>
        <v>#VALUE!</v>
      </c>
      <c r="H268" s="5" t="e">
        <f>_xlfn.CONCAT(G268:G271)</f>
        <v>#VALUE!</v>
      </c>
    </row>
    <row r="269" spans="1:8" x14ac:dyDescent="0.35">
      <c r="B269" s="5" t="s">
        <v>156</v>
      </c>
      <c r="C269" s="5" t="s">
        <v>828</v>
      </c>
      <c r="D269" s="5" t="e">
        <f>LU!AA3</f>
        <v>#VALUE!</v>
      </c>
      <c r="F269" s="5" t="e">
        <f t="shared" si="9"/>
        <v>#VALUE!</v>
      </c>
      <c r="G269" s="5" t="e">
        <f>BIN2HEX(MID(G266,9,8),2)</f>
        <v>#VALUE!</v>
      </c>
    </row>
    <row r="270" spans="1:8" x14ac:dyDescent="0.35">
      <c r="B270" s="5" t="s">
        <v>275</v>
      </c>
      <c r="C270" s="5" t="s">
        <v>473</v>
      </c>
      <c r="D270" s="5">
        <v>0</v>
      </c>
      <c r="F270" s="5" t="str">
        <f t="shared" si="9"/>
        <v>0000</v>
      </c>
      <c r="G270" s="5" t="e">
        <f>BIN2HEX(MID(G266,17,8),2)</f>
        <v>#VALUE!</v>
      </c>
    </row>
    <row r="271" spans="1:8" x14ac:dyDescent="0.35">
      <c r="B271" s="5" t="s">
        <v>274</v>
      </c>
      <c r="C271" s="5" t="s">
        <v>829</v>
      </c>
      <c r="D271" s="5" t="e">
        <f>LU!Z3</f>
        <v>#VALUE!</v>
      </c>
      <c r="F271" s="5" t="e">
        <f t="shared" si="9"/>
        <v>#VALUE!</v>
      </c>
      <c r="G271" s="5" t="e">
        <f>BIN2HEX(MID(G266,25,8),2)</f>
        <v>#VALUE!</v>
      </c>
    </row>
    <row r="272" spans="1:8" x14ac:dyDescent="0.35">
      <c r="B272" s="5" t="s">
        <v>162</v>
      </c>
      <c r="C272" s="5" t="s">
        <v>473</v>
      </c>
      <c r="D272" s="5">
        <v>0</v>
      </c>
      <c r="F272" s="5" t="str">
        <f t="shared" si="9"/>
        <v>0000</v>
      </c>
    </row>
    <row r="273" spans="1:8" x14ac:dyDescent="0.35">
      <c r="B273" s="5" t="s">
        <v>158</v>
      </c>
      <c r="C273" s="5" t="s">
        <v>830</v>
      </c>
      <c r="D273" s="5" t="e">
        <f>LU!Y3</f>
        <v>#VALUE!</v>
      </c>
      <c r="F273" s="5" t="e">
        <f t="shared" si="9"/>
        <v>#VALUE!</v>
      </c>
    </row>
    <row r="275" spans="1:8" x14ac:dyDescent="0.35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5" t="e">
        <f>_xlfn.CONCAT(F275:F282)</f>
        <v>#VALUE!</v>
      </c>
    </row>
    <row r="276" spans="1:8" x14ac:dyDescent="0.35">
      <c r="B276" s="5" t="s">
        <v>226</v>
      </c>
      <c r="C276" s="5" t="s">
        <v>832</v>
      </c>
      <c r="D276" s="5">
        <f>LU!AF3</f>
        <v>31</v>
      </c>
      <c r="F276" s="5" t="str">
        <f>DEC2BIN(D276,5)</f>
        <v>11111</v>
      </c>
    </row>
    <row r="277" spans="1:8" x14ac:dyDescent="0.35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e">
        <f>BIN2HEX(MID(G275,1,8),2)</f>
        <v>#VALUE!</v>
      </c>
      <c r="H277" s="5" t="e">
        <f>_xlfn.CONCAT(G277:G280)</f>
        <v>#VALUE!</v>
      </c>
    </row>
    <row r="278" spans="1:8" x14ac:dyDescent="0.35">
      <c r="B278" s="5" t="s">
        <v>200</v>
      </c>
      <c r="C278" s="5" t="s">
        <v>833</v>
      </c>
      <c r="D278" s="5" t="e">
        <f>LU!AE3</f>
        <v>#VALUE!</v>
      </c>
      <c r="F278" s="5" t="e">
        <f>DEC2BIN(D278,5)</f>
        <v>#VALUE!</v>
      </c>
      <c r="G278" s="5" t="e">
        <f>BIN2HEX(MID(G275,9,8),2)</f>
        <v>#VALUE!</v>
      </c>
    </row>
    <row r="279" spans="1:8" x14ac:dyDescent="0.35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e">
        <f>BIN2HEX(MID(G275,17,8),2)</f>
        <v>#VALUE!</v>
      </c>
    </row>
    <row r="280" spans="1:8" x14ac:dyDescent="0.35">
      <c r="B280" s="5" t="s">
        <v>274</v>
      </c>
      <c r="C280" s="5" t="s">
        <v>834</v>
      </c>
      <c r="D280" s="5" t="e">
        <f>LU!AD3</f>
        <v>#VALUE!</v>
      </c>
      <c r="F280" s="5" t="e">
        <f>DEC2BIN(D280,5)</f>
        <v>#VALUE!</v>
      </c>
      <c r="G280" s="5" t="e">
        <f>BIN2HEX(MID(G275,25,8),2)</f>
        <v>#VALUE!</v>
      </c>
    </row>
    <row r="281" spans="1:8" x14ac:dyDescent="0.35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 x14ac:dyDescent="0.35">
      <c r="B282" s="5" t="s">
        <v>134</v>
      </c>
      <c r="C282" s="5" t="s">
        <v>835</v>
      </c>
      <c r="D282" s="5" t="e">
        <f>LU!AC3</f>
        <v>#VALUE!</v>
      </c>
      <c r="F282" s="5" t="e">
        <f>DEC2BIN(D282,5)</f>
        <v>#VALUE!</v>
      </c>
    </row>
    <row r="284" spans="1:8" x14ac:dyDescent="0.35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5" t="str">
        <f>_xlfn.CONCAT(F284:F289)</f>
        <v>00000000000000000001111100011111</v>
      </c>
    </row>
    <row r="285" spans="1:8" x14ac:dyDescent="0.35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 x14ac:dyDescent="0.35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_xlfn.CONCAT(G286:G289)</f>
        <v>00001F1F</v>
      </c>
    </row>
    <row r="287" spans="1:8" x14ac:dyDescent="0.35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 x14ac:dyDescent="0.35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 x14ac:dyDescent="0.35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 x14ac:dyDescent="0.35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5" t="e">
        <f>_xlfn.CONCAT(F291:F298)</f>
        <v>#NUM!</v>
      </c>
    </row>
    <row r="292" spans="1:8" x14ac:dyDescent="0.35">
      <c r="B292" s="5" t="s">
        <v>143</v>
      </c>
      <c r="C292" s="5" t="s">
        <v>843</v>
      </c>
      <c r="D292" s="5">
        <f>LU!AX3</f>
        <v>63</v>
      </c>
      <c r="F292" s="5" t="e">
        <f>DEC2BIN(D292,4)</f>
        <v>#NUM!</v>
      </c>
    </row>
    <row r="293" spans="1:8" x14ac:dyDescent="0.35">
      <c r="B293" s="5" t="s">
        <v>144</v>
      </c>
      <c r="C293" s="5" t="s">
        <v>473</v>
      </c>
      <c r="D293" s="5">
        <v>0</v>
      </c>
      <c r="F293" s="5" t="str">
        <f t="shared" ref="F293:F298" si="10">DEC2BIN(D293,4)</f>
        <v>0000</v>
      </c>
      <c r="G293" s="5" t="e">
        <f>BIN2HEX(MID(G291,1,8),2)</f>
        <v>#NUM!</v>
      </c>
      <c r="H293" s="5" t="e">
        <f>_xlfn.CONCAT(G293:G296)</f>
        <v>#NUM!</v>
      </c>
    </row>
    <row r="294" spans="1:8" x14ac:dyDescent="0.35">
      <c r="B294" s="5" t="s">
        <v>156</v>
      </c>
      <c r="C294" s="5" t="s">
        <v>844</v>
      </c>
      <c r="D294" s="107">
        <f>LOOKUP(Parameters!H15,LU!S8:S20,LU!S8:S20)</f>
        <v>15</v>
      </c>
      <c r="F294" s="5" t="str">
        <f t="shared" si="10"/>
        <v>1111</v>
      </c>
      <c r="G294" s="5" t="e">
        <f>BIN2HEX(MID(G291,9,8),2)</f>
        <v>#NUM!</v>
      </c>
    </row>
    <row r="295" spans="1:8" x14ac:dyDescent="0.35">
      <c r="B295" s="5" t="s">
        <v>275</v>
      </c>
      <c r="C295" s="5" t="s">
        <v>473</v>
      </c>
      <c r="D295" s="5">
        <v>0</v>
      </c>
      <c r="F295" s="5" t="str">
        <f t="shared" si="10"/>
        <v>0000</v>
      </c>
      <c r="G295" s="5" t="e">
        <f>BIN2HEX(MID(G291,17,8),2)</f>
        <v>#NUM!</v>
      </c>
    </row>
    <row r="296" spans="1:8" x14ac:dyDescent="0.35">
      <c r="B296" s="5" t="s">
        <v>274</v>
      </c>
      <c r="C296" s="5" t="s">
        <v>845</v>
      </c>
      <c r="D296" s="5" t="e">
        <f>LU!AN3</f>
        <v>#VALUE!</v>
      </c>
      <c r="F296" s="5" t="e">
        <f t="shared" si="10"/>
        <v>#VALUE!</v>
      </c>
      <c r="G296" s="5" t="e">
        <f>BIN2HEX(MID(G291,25,8),2)</f>
        <v>#NUM!</v>
      </c>
    </row>
    <row r="297" spans="1:8" x14ac:dyDescent="0.35">
      <c r="B297" s="5" t="s">
        <v>162</v>
      </c>
      <c r="C297" s="5" t="s">
        <v>473</v>
      </c>
      <c r="D297" s="5">
        <v>0</v>
      </c>
      <c r="F297" s="5" t="str">
        <f t="shared" si="10"/>
        <v>0000</v>
      </c>
    </row>
    <row r="298" spans="1:8" x14ac:dyDescent="0.35">
      <c r="B298" s="5" t="s">
        <v>158</v>
      </c>
      <c r="C298" s="5" t="s">
        <v>846</v>
      </c>
      <c r="D298" s="5" t="e">
        <f>LU!AM3</f>
        <v>#VALUE!</v>
      </c>
      <c r="F298" s="5" t="e">
        <f t="shared" si="10"/>
        <v>#VALUE!</v>
      </c>
    </row>
    <row r="300" spans="1:8" x14ac:dyDescent="0.35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5" t="str">
        <f>_xlfn.CONCAT(F300:F309)</f>
        <v>00001111000011110000111100001111</v>
      </c>
    </row>
    <row r="301" spans="1:8" x14ac:dyDescent="0.35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 x14ac:dyDescent="0.35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_xlfn.CONCAT(G302:G305)</f>
        <v>0F0F0F0F</v>
      </c>
    </row>
    <row r="303" spans="1:8" x14ac:dyDescent="0.35">
      <c r="B303" s="5" t="s">
        <v>143</v>
      </c>
      <c r="C303" s="5" t="s">
        <v>849</v>
      </c>
      <c r="D303" s="5">
        <f>LU!BB3</f>
        <v>15</v>
      </c>
      <c r="F303" s="5" t="str">
        <f t="shared" ref="F303:F309" si="11">DEC2BIN(D303,4)</f>
        <v>1111</v>
      </c>
      <c r="G303" s="5" t="str">
        <f>BIN2HEX(MID(G300,9,8),2)</f>
        <v>0F</v>
      </c>
    </row>
    <row r="304" spans="1:8" x14ac:dyDescent="0.35">
      <c r="B304" s="5" t="s">
        <v>144</v>
      </c>
      <c r="C304" s="5" t="s">
        <v>473</v>
      </c>
      <c r="D304" s="5">
        <v>0</v>
      </c>
      <c r="F304" s="5" t="str">
        <f t="shared" si="11"/>
        <v>0000</v>
      </c>
      <c r="G304" s="5" t="str">
        <f>BIN2HEX(MID(G300,17,8),2)</f>
        <v>0F</v>
      </c>
    </row>
    <row r="305" spans="1:8" x14ac:dyDescent="0.35">
      <c r="B305" s="5" t="s">
        <v>156</v>
      </c>
      <c r="C305" s="5" t="s">
        <v>850</v>
      </c>
      <c r="D305" s="5">
        <f>LU!BA3</f>
        <v>15</v>
      </c>
      <c r="F305" s="5" t="str">
        <f t="shared" si="11"/>
        <v>1111</v>
      </c>
      <c r="G305" s="5" t="str">
        <f>BIN2HEX(MID(G300,25,8),2)</f>
        <v>0F</v>
      </c>
    </row>
    <row r="306" spans="1:8" x14ac:dyDescent="0.35">
      <c r="B306" s="5" t="s">
        <v>140</v>
      </c>
      <c r="C306" s="5" t="s">
        <v>473</v>
      </c>
      <c r="D306" s="5">
        <v>0</v>
      </c>
      <c r="F306" s="5" t="str">
        <f t="shared" si="11"/>
        <v>0000</v>
      </c>
    </row>
    <row r="307" spans="1:8" x14ac:dyDescent="0.35">
      <c r="B307" s="5" t="s">
        <v>160</v>
      </c>
      <c r="C307" s="5" t="s">
        <v>851</v>
      </c>
      <c r="D307" s="5">
        <f>LU!AZ3</f>
        <v>15</v>
      </c>
      <c r="F307" s="5" t="str">
        <f t="shared" si="11"/>
        <v>1111</v>
      </c>
    </row>
    <row r="308" spans="1:8" x14ac:dyDescent="0.35">
      <c r="B308" s="5" t="s">
        <v>162</v>
      </c>
      <c r="C308" s="5" t="s">
        <v>473</v>
      </c>
      <c r="D308" s="5">
        <v>0</v>
      </c>
      <c r="F308" s="5" t="str">
        <f t="shared" si="11"/>
        <v>0000</v>
      </c>
    </row>
    <row r="309" spans="1:8" x14ac:dyDescent="0.35">
      <c r="B309" s="5" t="s">
        <v>158</v>
      </c>
      <c r="C309" s="5" t="s">
        <v>852</v>
      </c>
      <c r="D309" s="5">
        <f>LU!AY3</f>
        <v>15</v>
      </c>
      <c r="F309" s="5" t="str">
        <f t="shared" si="11"/>
        <v>1111</v>
      </c>
    </row>
    <row r="311" spans="1:8" x14ac:dyDescent="0.35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5" t="str">
        <f>_xlfn.CONCAT(F311:F315)</f>
        <v>00000000000000000000111100001111</v>
      </c>
    </row>
    <row r="312" spans="1:8" x14ac:dyDescent="0.35">
      <c r="D312" s="5">
        <v>0</v>
      </c>
      <c r="F312" s="5" t="str">
        <f>DEC2BIN(D312,10)</f>
        <v>0000000000</v>
      </c>
    </row>
    <row r="313" spans="1:8" x14ac:dyDescent="0.35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_xlfn.CONCAT(G313:G316)</f>
        <v>00000F0F</v>
      </c>
    </row>
    <row r="314" spans="1:8" x14ac:dyDescent="0.35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 x14ac:dyDescent="0.35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 x14ac:dyDescent="0.35">
      <c r="G316" s="5" t="str">
        <f>BIN2HEX(MID(G311,25,8),2)</f>
        <v>0F</v>
      </c>
    </row>
    <row r="317" spans="1:8" x14ac:dyDescent="0.35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5" t="str">
        <f>_xlfn.CONCAT(F317:F321)</f>
        <v>00000000000000000011111100111111</v>
      </c>
    </row>
    <row r="318" spans="1:8" x14ac:dyDescent="0.35">
      <c r="D318" s="5">
        <v>0</v>
      </c>
      <c r="F318" s="5" t="str">
        <f>DEC2BIN(D318,8)</f>
        <v>00000000</v>
      </c>
    </row>
    <row r="319" spans="1:8" x14ac:dyDescent="0.35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_xlfn.CONCAT(G319:G322)</f>
        <v>00003F3F</v>
      </c>
    </row>
    <row r="320" spans="1:8" x14ac:dyDescent="0.35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 x14ac:dyDescent="0.35">
      <c r="B321" s="5" t="s">
        <v>197</v>
      </c>
      <c r="C321" s="5" t="s">
        <v>859</v>
      </c>
      <c r="D321" s="5">
        <f>LU!AI3</f>
        <v>63</v>
      </c>
      <c r="F321" s="5" t="str">
        <f>DEC2BIN(D321,6)</f>
        <v>111111</v>
      </c>
      <c r="G321" s="5" t="str">
        <f>BIN2HEX(MID(G317,17,8),2)</f>
        <v>3F</v>
      </c>
    </row>
    <row r="322" spans="1:8" x14ac:dyDescent="0.35">
      <c r="G322" s="5" t="str">
        <f>BIN2HEX(MID(G317,25,8),2)</f>
        <v>3F</v>
      </c>
    </row>
    <row r="323" spans="1:8" x14ac:dyDescent="0.35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5" t="e">
        <f>_xlfn.CONCAT(F323:F330)</f>
        <v>#NUM!</v>
      </c>
    </row>
    <row r="324" spans="1:8" x14ac:dyDescent="0.35">
      <c r="B324" s="5" t="s">
        <v>143</v>
      </c>
      <c r="C324" s="5" t="s">
        <v>862</v>
      </c>
      <c r="D324" s="5">
        <f>IF(Parameters!H15=15,LU!AR3,0)</f>
        <v>63</v>
      </c>
      <c r="F324" s="5" t="e">
        <f>DEC2BIN(D324,4)</f>
        <v>#NUM!</v>
      </c>
    </row>
    <row r="325" spans="1:8" x14ac:dyDescent="0.35">
      <c r="B325" s="5" t="s">
        <v>144</v>
      </c>
      <c r="C325" s="5" t="s">
        <v>473</v>
      </c>
      <c r="D325" s="5">
        <v>0</v>
      </c>
      <c r="F325" s="5" t="str">
        <f t="shared" ref="F325:F330" si="12">DEC2BIN(D325,4)</f>
        <v>0000</v>
      </c>
      <c r="G325" s="5" t="e">
        <f>BIN2HEX(MID(G323,1,8),2)</f>
        <v>#NUM!</v>
      </c>
      <c r="H325" s="5" t="e">
        <f>_xlfn.CONCAT(G325:G328)</f>
        <v>#NUM!</v>
      </c>
    </row>
    <row r="326" spans="1:8" x14ac:dyDescent="0.35">
      <c r="B326" s="5" t="s">
        <v>156</v>
      </c>
      <c r="C326" s="5" t="s">
        <v>863</v>
      </c>
      <c r="D326" s="5">
        <f>IF(Parameters!H15=15,LU!AQ3,0)</f>
        <v>63</v>
      </c>
      <c r="F326" s="5" t="e">
        <f t="shared" si="12"/>
        <v>#NUM!</v>
      </c>
      <c r="G326" s="5" t="e">
        <f>BIN2HEX(MID(G323,9,8),2)</f>
        <v>#NUM!</v>
      </c>
    </row>
    <row r="327" spans="1:8" x14ac:dyDescent="0.35">
      <c r="B327" s="5" t="s">
        <v>275</v>
      </c>
      <c r="C327" s="5" t="s">
        <v>473</v>
      </c>
      <c r="D327" s="5">
        <v>0</v>
      </c>
      <c r="F327" s="5" t="str">
        <f t="shared" si="12"/>
        <v>0000</v>
      </c>
      <c r="G327" s="5" t="e">
        <f>BIN2HEX(MID(G323,17,8),2)</f>
        <v>#NUM!</v>
      </c>
    </row>
    <row r="328" spans="1:8" x14ac:dyDescent="0.35">
      <c r="B328" s="5" t="s">
        <v>274</v>
      </c>
      <c r="C328" s="5" t="s">
        <v>864</v>
      </c>
      <c r="D328" s="5">
        <f>IF(Parameters!H15=15,LU!AP3,0)</f>
        <v>63</v>
      </c>
      <c r="F328" s="5" t="e">
        <f t="shared" si="12"/>
        <v>#NUM!</v>
      </c>
      <c r="G328" s="5" t="e">
        <f>BIN2HEX(MID(G323,25,8),2)</f>
        <v>#NUM!</v>
      </c>
    </row>
    <row r="329" spans="1:8" x14ac:dyDescent="0.35">
      <c r="B329" s="5" t="s">
        <v>162</v>
      </c>
      <c r="C329" s="5" t="s">
        <v>473</v>
      </c>
      <c r="D329" s="5">
        <v>0</v>
      </c>
      <c r="F329" s="5" t="str">
        <f t="shared" si="12"/>
        <v>0000</v>
      </c>
    </row>
    <row r="330" spans="1:8" x14ac:dyDescent="0.35">
      <c r="B330" s="5" t="s">
        <v>158</v>
      </c>
      <c r="C330" s="5" t="s">
        <v>865</v>
      </c>
      <c r="D330" s="5" t="e">
        <f>IF(Parameters!H15=15,LU!AO3,0)</f>
        <v>#VALUE!</v>
      </c>
      <c r="F330" s="5" t="e">
        <f t="shared" si="12"/>
        <v>#VALUE!</v>
      </c>
    </row>
    <row r="332" spans="1:8" x14ac:dyDescent="0.35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5" t="e">
        <f>_xlfn.CONCAT(F332:F339)</f>
        <v>#NUM!</v>
      </c>
    </row>
    <row r="333" spans="1:8" x14ac:dyDescent="0.35">
      <c r="B333" s="5" t="s">
        <v>143</v>
      </c>
      <c r="C333" s="5" t="s">
        <v>867</v>
      </c>
      <c r="D333" s="5">
        <f>IF(Parameters!H15=15,LU!AV3,0)</f>
        <v>63</v>
      </c>
      <c r="F333" s="5" t="e">
        <f>DEC2BIN(D333,4)</f>
        <v>#NUM!</v>
      </c>
    </row>
    <row r="334" spans="1:8" x14ac:dyDescent="0.35">
      <c r="B334" s="5" t="s">
        <v>144</v>
      </c>
      <c r="C334" s="5" t="s">
        <v>473</v>
      </c>
      <c r="D334" s="5">
        <v>0</v>
      </c>
      <c r="F334" s="5" t="str">
        <f t="shared" ref="F334:F339" si="13">DEC2BIN(D334,4)</f>
        <v>0000</v>
      </c>
      <c r="G334" s="5" t="e">
        <f>BIN2HEX(MID(G332,1,8),2)</f>
        <v>#NUM!</v>
      </c>
      <c r="H334" s="5" t="e">
        <f>_xlfn.CONCAT(G334:G337)</f>
        <v>#NUM!</v>
      </c>
    </row>
    <row r="335" spans="1:8" x14ac:dyDescent="0.35">
      <c r="B335" s="5" t="s">
        <v>156</v>
      </c>
      <c r="C335" s="5" t="s">
        <v>868</v>
      </c>
      <c r="D335" s="5">
        <f>IF(Parameters!H15=15,LU!AU3,0)</f>
        <v>63</v>
      </c>
      <c r="F335" s="5" t="e">
        <f t="shared" si="13"/>
        <v>#NUM!</v>
      </c>
      <c r="G335" s="5" t="e">
        <f>BIN2HEX(MID(G332,9,8),2)</f>
        <v>#NUM!</v>
      </c>
    </row>
    <row r="336" spans="1:8" x14ac:dyDescent="0.35">
      <c r="B336" s="5" t="s">
        <v>275</v>
      </c>
      <c r="C336" s="5" t="s">
        <v>473</v>
      </c>
      <c r="D336" s="5">
        <v>0</v>
      </c>
      <c r="F336" s="5" t="str">
        <f t="shared" si="13"/>
        <v>0000</v>
      </c>
      <c r="G336" s="5" t="e">
        <f>BIN2HEX(MID(G332,17,8),2)</f>
        <v>#NUM!</v>
      </c>
    </row>
    <row r="337" spans="1:8" x14ac:dyDescent="0.35">
      <c r="B337" s="5" t="s">
        <v>274</v>
      </c>
      <c r="C337" s="5" t="s">
        <v>869</v>
      </c>
      <c r="D337" s="5">
        <f>IF(Parameters!H15=15,LU!AT3,0)</f>
        <v>63</v>
      </c>
      <c r="F337" s="5" t="e">
        <f t="shared" si="13"/>
        <v>#NUM!</v>
      </c>
      <c r="G337" s="5" t="e">
        <f>BIN2HEX(MID(G332,25,8),2)</f>
        <v>#NUM!</v>
      </c>
    </row>
    <row r="338" spans="1:8" x14ac:dyDescent="0.35">
      <c r="B338" s="5" t="s">
        <v>162</v>
      </c>
      <c r="C338" s="5" t="s">
        <v>473</v>
      </c>
      <c r="D338" s="5">
        <v>0</v>
      </c>
      <c r="F338" s="5" t="str">
        <f t="shared" si="13"/>
        <v>0000</v>
      </c>
    </row>
    <row r="339" spans="1:8" x14ac:dyDescent="0.35">
      <c r="B339" s="5" t="s">
        <v>158</v>
      </c>
      <c r="C339" s="5" t="s">
        <v>870</v>
      </c>
      <c r="D339" s="5">
        <f>IF(Parameters!H15=15,LU!AS3,0)</f>
        <v>63</v>
      </c>
      <c r="F339" s="5" t="e">
        <f t="shared" si="13"/>
        <v>#NUM!</v>
      </c>
    </row>
    <row r="341" spans="1:8" x14ac:dyDescent="0.35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5" t="e">
        <f>_xlfn.CONCAT(F341:F347)</f>
        <v>#NUM!</v>
      </c>
    </row>
    <row r="342" spans="1:8" x14ac:dyDescent="0.35">
      <c r="D342" s="5">
        <v>0</v>
      </c>
      <c r="F342" s="5" t="str">
        <f>DEC2BIN(D342,1)</f>
        <v>0</v>
      </c>
    </row>
    <row r="343" spans="1:8" x14ac:dyDescent="0.35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e">
        <f>BIN2HEX(MID(G341,1,8),2)</f>
        <v>#NUM!</v>
      </c>
      <c r="H343" s="5" t="e">
        <f>_xlfn.CONCAT(G343:G346)</f>
        <v>#NUM!</v>
      </c>
    </row>
    <row r="344" spans="1:8" x14ac:dyDescent="0.35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e">
        <f>BIN2HEX(MID(G341,9,8),2)</f>
        <v>#NUM!</v>
      </c>
    </row>
    <row r="345" spans="1:8" x14ac:dyDescent="0.35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e">
        <f>BIN2HEX(MID(G341,17,8),2)</f>
        <v>#NUM!</v>
      </c>
    </row>
    <row r="346" spans="1:8" x14ac:dyDescent="0.35">
      <c r="B346" s="5" t="s">
        <v>162</v>
      </c>
      <c r="C346" s="5" t="s">
        <v>473</v>
      </c>
      <c r="D346" s="5">
        <v>0</v>
      </c>
      <c r="F346" s="5" t="str">
        <f t="shared" ref="F346:F347" si="14">DEC2BIN(D346,4)</f>
        <v>0000</v>
      </c>
      <c r="G346" s="5" t="e">
        <f>BIN2HEX(MID(G341,25,8),2)</f>
        <v>#NUM!</v>
      </c>
    </row>
    <row r="347" spans="1:8" x14ac:dyDescent="0.35">
      <c r="B347" s="5" t="s">
        <v>158</v>
      </c>
      <c r="C347" s="5" t="s">
        <v>874</v>
      </c>
      <c r="D347" s="5">
        <f>IF(Parameters!H15=15,LU!AW3,0)</f>
        <v>63</v>
      </c>
      <c r="F347" s="5" t="e">
        <f t="shared" si="14"/>
        <v>#NUM!</v>
      </c>
    </row>
  </sheetData>
  <sheetProtection algorithmName="SHA-512" hashValue="MLmDa49QJwJcuS24pUiI8QPfXAJKZRjYsscNmvHCIBh6+D1T1WuaKb5csYk5G2lZyRUHQMjf90v8I+zWaG5E9g==" saltValue="15jdO967Pd9gnVgiQGTiuw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3963-952A-4E89-86BD-9D9D2783908D}">
  <dimension ref="A1:BD229"/>
  <sheetViews>
    <sheetView topLeftCell="B1" zoomScale="115" zoomScaleNormal="115" workbookViewId="0">
      <selection activeCell="N34" sqref="N34"/>
    </sheetView>
  </sheetViews>
  <sheetFormatPr defaultColWidth="8.7265625" defaultRowHeight="14.5" x14ac:dyDescent="0.35"/>
  <cols>
    <col min="1" max="1" width="8" style="5" customWidth="1"/>
    <col min="2" max="2" width="17.453125" style="5" customWidth="1"/>
    <col min="3" max="3" width="27.453125" style="5" customWidth="1"/>
    <col min="4" max="4" width="7" style="5" customWidth="1"/>
    <col min="5" max="5" width="17.1796875" style="5" customWidth="1"/>
    <col min="6" max="6" width="4.1796875" style="5" hidden="1" customWidth="1"/>
    <col min="7" max="7" width="13.453125" style="5" customWidth="1"/>
    <col min="8" max="10" width="8.7265625" style="5"/>
    <col min="11" max="11" width="27.54296875" style="5" customWidth="1"/>
    <col min="12" max="12" width="29.1796875" style="5" customWidth="1"/>
    <col min="13" max="13" width="8.7265625" style="5"/>
    <col min="14" max="14" width="7.1796875" style="5" hidden="1" customWidth="1"/>
    <col min="15" max="15" width="13.26953125" style="5" customWidth="1"/>
    <col min="16" max="16" width="16.54296875" style="5" customWidth="1"/>
    <col min="17" max="17" width="11.54296875" style="5" customWidth="1"/>
    <col min="18" max="55" width="3.26953125" style="5" customWidth="1"/>
    <col min="56" max="16384" width="8.7265625" style="5"/>
  </cols>
  <sheetData>
    <row r="1" spans="1:56" x14ac:dyDescent="0.35">
      <c r="A1" s="146" t="s">
        <v>500</v>
      </c>
      <c r="B1" s="147"/>
      <c r="C1" s="147"/>
      <c r="D1" s="147"/>
      <c r="E1" s="148"/>
      <c r="F1" s="8"/>
      <c r="G1" s="80" t="s">
        <v>635</v>
      </c>
      <c r="H1" s="15"/>
      <c r="J1" s="146" t="s">
        <v>644</v>
      </c>
      <c r="K1" s="147"/>
      <c r="L1" s="147"/>
      <c r="M1" s="147"/>
      <c r="N1" s="8"/>
      <c r="O1" s="80" t="s">
        <v>635</v>
      </c>
    </row>
    <row r="2" spans="1:56" ht="29" x14ac:dyDescent="0.35">
      <c r="A2" s="78"/>
      <c r="B2" s="78" t="s">
        <v>472</v>
      </c>
      <c r="C2" s="83" t="s">
        <v>640</v>
      </c>
      <c r="D2" s="75" t="str">
        <f>DEC2BIN(F2,2)</f>
        <v>00</v>
      </c>
      <c r="E2" s="78"/>
      <c r="F2" s="78">
        <v>0</v>
      </c>
      <c r="G2" s="84" t="e">
        <f>IF(LDDR4_INIT!D3="Reserved",11,LOOKUP(LDDR4_INIT!D3,LU!C2:C4,LU!D2:D4))</f>
        <v>#N/A</v>
      </c>
      <c r="H2" s="15"/>
      <c r="J2" s="83"/>
      <c r="K2" s="83" t="s">
        <v>472</v>
      </c>
      <c r="L2" s="83" t="s">
        <v>640</v>
      </c>
      <c r="M2" s="89" t="str">
        <f>DEC2BIN(N2,2)</f>
        <v>00</v>
      </c>
      <c r="N2" s="83">
        <v>0</v>
      </c>
      <c r="O2" s="90" t="e">
        <f>IF(DDR4_INIT!D2="Reserved",11,LOOKUP(DDR4_INIT!D2,LU!L2:L4,LU!M2:M4))</f>
        <v>#N/A</v>
      </c>
      <c r="S2" s="105" t="s">
        <v>792</v>
      </c>
      <c r="T2" s="105" t="s">
        <v>793</v>
      </c>
      <c r="U2" s="105" t="s">
        <v>794</v>
      </c>
      <c r="V2" s="105" t="s">
        <v>774</v>
      </c>
      <c r="W2" s="105" t="s">
        <v>773</v>
      </c>
      <c r="X2" s="105" t="s">
        <v>772</v>
      </c>
      <c r="Y2" s="105" t="s">
        <v>764</v>
      </c>
      <c r="Z2" s="105" t="s">
        <v>765</v>
      </c>
      <c r="AA2" s="105" t="s">
        <v>766</v>
      </c>
      <c r="AB2" s="105" t="s">
        <v>767</v>
      </c>
      <c r="AC2" s="105" t="s">
        <v>768</v>
      </c>
      <c r="AD2" s="105" t="s">
        <v>769</v>
      </c>
      <c r="AE2" s="105" t="s">
        <v>770</v>
      </c>
      <c r="AF2" s="105" t="s">
        <v>771</v>
      </c>
      <c r="AG2" s="105" t="s">
        <v>799</v>
      </c>
      <c r="AH2" s="105" t="s">
        <v>800</v>
      </c>
      <c r="AI2" s="105" t="s">
        <v>801</v>
      </c>
      <c r="AJ2" s="105" t="s">
        <v>802</v>
      </c>
      <c r="AK2" s="105" t="s">
        <v>803</v>
      </c>
      <c r="AL2" s="105" t="s">
        <v>804</v>
      </c>
      <c r="AM2" s="105" t="s">
        <v>775</v>
      </c>
      <c r="AN2" s="105" t="s">
        <v>776</v>
      </c>
      <c r="AO2" s="105" t="s">
        <v>777</v>
      </c>
      <c r="AP2" s="105" t="s">
        <v>778</v>
      </c>
      <c r="AQ2" s="105" t="s">
        <v>779</v>
      </c>
      <c r="AR2" s="105" t="s">
        <v>780</v>
      </c>
      <c r="AS2" s="105" t="s">
        <v>781</v>
      </c>
      <c r="AT2" s="105" t="s">
        <v>782</v>
      </c>
      <c r="AU2" s="105" t="s">
        <v>783</v>
      </c>
      <c r="AV2" s="105" t="s">
        <v>784</v>
      </c>
      <c r="AW2" s="105" t="s">
        <v>785</v>
      </c>
      <c r="AX2" s="105" t="s">
        <v>786</v>
      </c>
      <c r="AY2" s="105" t="s">
        <v>787</v>
      </c>
      <c r="AZ2" s="105" t="s">
        <v>788</v>
      </c>
      <c r="BA2" s="105" t="s">
        <v>789</v>
      </c>
      <c r="BB2" s="105" t="s">
        <v>790</v>
      </c>
      <c r="BC2" s="105" t="s">
        <v>763</v>
      </c>
      <c r="BD2" s="105" t="s">
        <v>807</v>
      </c>
    </row>
    <row r="3" spans="1:56" ht="58" x14ac:dyDescent="0.35">
      <c r="A3" s="78"/>
      <c r="B3" s="78"/>
      <c r="C3" s="83" t="s">
        <v>641</v>
      </c>
      <c r="D3" s="75" t="str">
        <f t="shared" ref="D3:D5" si="0">DEC2BIN(F3,2)</f>
        <v>01</v>
      </c>
      <c r="E3" s="78"/>
      <c r="F3" s="78">
        <v>1</v>
      </c>
      <c r="G3" s="78"/>
      <c r="H3" s="15"/>
      <c r="J3" s="83"/>
      <c r="K3" s="83"/>
      <c r="L3" s="83" t="s">
        <v>641</v>
      </c>
      <c r="M3" s="89" t="str">
        <f t="shared" ref="M3:M5" si="1">DEC2BIN(N3,2)</f>
        <v>01</v>
      </c>
      <c r="N3" s="83">
        <v>1</v>
      </c>
      <c r="O3" s="83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31</v>
      </c>
      <c r="V3" s="78">
        <f>IF(Parameters!K17="NA",63,Parameters!K17-4)</f>
        <v>63</v>
      </c>
      <c r="W3" s="78">
        <f>IF(Parameters!L17="NA",63,Parameters!L17-3)</f>
        <v>63</v>
      </c>
      <c r="X3" s="78">
        <f>IF(Parameters!M17="NA",63,Parameters!M17-2)</f>
        <v>63</v>
      </c>
      <c r="Y3" s="78" t="e">
        <f>Parameters!N17-2</f>
        <v>#VALUE!</v>
      </c>
      <c r="Z3" s="78" t="e">
        <f>Parameters!O17-3</f>
        <v>#VALUE!</v>
      </c>
      <c r="AA3" s="78" t="e">
        <f>Parameters!P17-4</f>
        <v>#VALUE!</v>
      </c>
      <c r="AB3" s="78" t="e">
        <f>Parameters!Q17-5</f>
        <v>#VALUE!</v>
      </c>
      <c r="AC3" s="78" t="e">
        <f>Parameters!R17-6</f>
        <v>#VALUE!</v>
      </c>
      <c r="AD3" s="78" t="e">
        <f>Parameters!S17-7</f>
        <v>#VALUE!</v>
      </c>
      <c r="AE3" s="78" t="e">
        <f>Parameters!T17-8</f>
        <v>#VALUE!</v>
      </c>
      <c r="AF3" s="78">
        <f>IF(Parameters!U17="NA",31,Parameters!U17-9)</f>
        <v>31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63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 t="e">
        <f>Parameters!AB17-6</f>
        <v>#VALUE!</v>
      </c>
      <c r="AN3" s="78" t="e">
        <f>Parameters!AC17-7</f>
        <v>#VALUE!</v>
      </c>
      <c r="AO3" s="78" t="e">
        <f>Parameters!AD17-8</f>
        <v>#VALUE!</v>
      </c>
      <c r="AP3" s="78">
        <f>IF(Parameters!AE17="NA",63,Parameters!AE17-9)</f>
        <v>63</v>
      </c>
      <c r="AQ3" s="78">
        <f>IF(Parameters!AF17="NA",63,Parameters!AF17-10)</f>
        <v>63</v>
      </c>
      <c r="AR3" s="78">
        <f>IF(Parameters!AG17="NA",63,Parameters!AG17-11)</f>
        <v>63</v>
      </c>
      <c r="AS3" s="78">
        <f>IF(Parameters!AH17="NA",63,Parameters!AH17-12)</f>
        <v>63</v>
      </c>
      <c r="AT3" s="78">
        <f>IF(Parameters!AI17="NA",63,Parameters!AI17-13)</f>
        <v>63</v>
      </c>
      <c r="AU3" s="78">
        <f>IF(Parameters!AJ17="NA",63,Parameters!AJ17-14)</f>
        <v>63</v>
      </c>
      <c r="AV3" s="78">
        <f>IF(Parameters!AK17="NA",63,Parameters!AK17-15)</f>
        <v>63</v>
      </c>
      <c r="AW3" s="78">
        <f>IF(Parameters!AL17="NA",63,Parameters!AL17-16)</f>
        <v>63</v>
      </c>
      <c r="AX3" s="78">
        <f>IF(Parameters!AM17="NA",63,Parameters!AM17-17)</f>
        <v>63</v>
      </c>
      <c r="AY3" s="78">
        <f>IF(Parameters!AN17="NA",15,Parameters!AN17-18)</f>
        <v>15</v>
      </c>
      <c r="AZ3" s="78">
        <f>IF(Parameters!AO17="NA",15,Parameters!AO17-19)</f>
        <v>15</v>
      </c>
      <c r="BA3" s="78">
        <f>IF(Parameters!AP17="NA",15,Parameters!AP17-20)</f>
        <v>15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58" x14ac:dyDescent="0.35">
      <c r="A4" s="78"/>
      <c r="B4" s="78"/>
      <c r="C4" s="83" t="s">
        <v>642</v>
      </c>
      <c r="D4" s="75" t="str">
        <f t="shared" si="0"/>
        <v>11</v>
      </c>
      <c r="E4" s="78"/>
      <c r="F4" s="78">
        <v>3</v>
      </c>
      <c r="G4" s="78"/>
      <c r="H4" s="21"/>
      <c r="J4" s="83"/>
      <c r="K4" s="83"/>
      <c r="L4" s="83" t="s">
        <v>642</v>
      </c>
      <c r="M4" s="89" t="str">
        <f t="shared" si="1"/>
        <v>11</v>
      </c>
      <c r="N4" s="83">
        <v>3</v>
      </c>
      <c r="O4" s="83"/>
      <c r="R4"/>
      <c r="S4"/>
      <c r="T4"/>
      <c r="U4"/>
      <c r="V4"/>
      <c r="W4"/>
      <c r="X4"/>
      <c r="Y4" s="104"/>
      <c r="Z4"/>
      <c r="AA4"/>
      <c r="AB4" s="104"/>
      <c r="AC4" s="104"/>
      <c r="AD4" s="104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 x14ac:dyDescent="0.35">
      <c r="A5" s="85"/>
      <c r="B5" s="85"/>
      <c r="C5" s="78" t="s">
        <v>499</v>
      </c>
      <c r="D5" s="75" t="str">
        <f t="shared" si="0"/>
        <v>10</v>
      </c>
      <c r="E5" s="85"/>
      <c r="F5" s="78">
        <v>2</v>
      </c>
      <c r="G5" s="78"/>
      <c r="H5" s="21"/>
      <c r="J5" s="85"/>
      <c r="K5" s="85"/>
      <c r="L5" s="78" t="s">
        <v>499</v>
      </c>
      <c r="M5" s="75" t="str">
        <f t="shared" si="1"/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 x14ac:dyDescent="0.35">
      <c r="A6" s="81" t="s">
        <v>493</v>
      </c>
      <c r="B6" s="8" t="s">
        <v>107</v>
      </c>
      <c r="C6" s="17" t="s">
        <v>506</v>
      </c>
      <c r="D6" s="75" t="str">
        <f>DEC2BIN(F6,2)</f>
        <v>00</v>
      </c>
      <c r="E6" s="8"/>
      <c r="F6" s="74">
        <v>0</v>
      </c>
      <c r="G6" s="75" t="e">
        <f>IF(LDDR4_INIT!D8="Reserved",11,LOOKUP(LDDR4_INIT!D8,LU!C6:C8,LU!D6:D8))</f>
        <v>#N/A</v>
      </c>
      <c r="H6" s="15"/>
      <c r="J6" s="81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3" t="e">
        <f>IF(DDR4_INIT!D3="Reserved",1111,LOOKUP(DDR4_INIT!D3,LU!L6:L14,LU!M6:M14))</f>
        <v>#N/A</v>
      </c>
      <c r="P6" s="94" t="e">
        <f>_xlfn.CONCAT(O6:O11)</f>
        <v>#N/A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 x14ac:dyDescent="0.35">
      <c r="A7" s="8"/>
      <c r="B7" s="8"/>
      <c r="C7" s="17" t="s">
        <v>498</v>
      </c>
      <c r="D7" s="75" t="str">
        <f>DEC2BIN(F7,2)</f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2">DEC2BIN(N7,4)</f>
        <v>0001</v>
      </c>
      <c r="N7" s="8">
        <v>1</v>
      </c>
      <c r="O7" s="93" t="e">
        <f>LOOKUP(DDR4_INIT!D4,LU!L16:L17,LU!M16:M17)</f>
        <v>#N/A</v>
      </c>
      <c r="P7" s="1" t="e">
        <f>_xlfn.CONCAT(MID(P6,1,1),MID(P6,7,1),MID(P6,2,5),MID(P6,8,3),MID(P6,12,1),MID(P6,11,1),MID(P6,13,2))</f>
        <v>#N/A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 x14ac:dyDescent="0.35">
      <c r="A8" s="8"/>
      <c r="B8" s="8"/>
      <c r="C8" s="17" t="s">
        <v>507</v>
      </c>
      <c r="D8" s="75" t="str">
        <f>DEC2BIN(F8,2)</f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2"/>
        <v>0010</v>
      </c>
      <c r="N8" s="8">
        <v>2</v>
      </c>
      <c r="O8" s="93" t="e">
        <f>LOOKUP(DDR4_INIT!D5,LU!L18:L19,LU!M18:M19)</f>
        <v>#N/A</v>
      </c>
      <c r="P8" s="1" t="e">
        <f>BIN2HEX(MID(P7,1,6),2)</f>
        <v>#N/A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 x14ac:dyDescent="0.35">
      <c r="A9" s="8"/>
      <c r="B9" s="8"/>
      <c r="C9" s="17" t="s">
        <v>499</v>
      </c>
      <c r="D9" s="75" t="str">
        <f>DEC2BIN(F9,2)</f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2"/>
        <v>0011</v>
      </c>
      <c r="N9" s="8">
        <v>3</v>
      </c>
      <c r="O9" s="93" t="e">
        <f>IF(DDR4_INIT!D6="Reserved",11000,LOOKUP(DDR4_INIT!D6,LU!L20:L44,LU!M20:M44))</f>
        <v>#N/A</v>
      </c>
      <c r="P9" s="1" t="e">
        <f>BIN2HEX(MID(P7,7,8),2)</f>
        <v>#N/A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 x14ac:dyDescent="0.35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e">
        <f>LOOKUP(LDDR4_INIT!D7,LU!C10:C11,LU!D10:D11)</f>
        <v>#N/A</v>
      </c>
      <c r="H10" s="73"/>
      <c r="J10" s="8"/>
      <c r="K10" s="8"/>
      <c r="L10" s="8" t="s">
        <v>650</v>
      </c>
      <c r="M10" s="8" t="str">
        <f t="shared" si="2"/>
        <v>0100</v>
      </c>
      <c r="N10" s="8">
        <v>4</v>
      </c>
      <c r="O10" s="100">
        <f>IF(DDR4_INIT!D7="Sequential",0,1)</f>
        <v>1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 x14ac:dyDescent="0.35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2"/>
        <v>0101</v>
      </c>
      <c r="N11" s="8">
        <v>5</v>
      </c>
      <c r="O11" s="100" t="e">
        <f>LOOKUP(DDR4_INIT!D8,LU!L47:L50,LU!M47:M50)</f>
        <v>#N/A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x14ac:dyDescent="0.35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e">
        <f>LOOKUP(LDDR4_INIT!D6,LU!C12:C13,LU!D12:D13)</f>
        <v>#N/A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 x14ac:dyDescent="0.35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 x14ac:dyDescent="0.35">
      <c r="A14" s="8"/>
      <c r="B14" s="8" t="s">
        <v>496</v>
      </c>
      <c r="C14" s="17">
        <v>6</v>
      </c>
      <c r="D14" s="75" t="str">
        <f t="shared" ref="D14:D21" si="3">DEC2BIN(F14,3)</f>
        <v>000</v>
      </c>
      <c r="E14" s="8"/>
      <c r="F14" s="74">
        <v>0</v>
      </c>
      <c r="G14" s="74" t="e">
        <f>LOOKUP(LDDR4_INIT!D5,LU!C14:C21,LU!D14:D21)</f>
        <v>#N/A</v>
      </c>
      <c r="H14" s="21"/>
      <c r="J14" s="8"/>
      <c r="K14" s="8"/>
      <c r="L14" s="8" t="s">
        <v>652</v>
      </c>
      <c r="M14" s="8" t="str">
        <f t="shared" si="2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 x14ac:dyDescent="0.35">
      <c r="A15" s="8"/>
      <c r="B15" s="8"/>
      <c r="C15" s="17">
        <v>10</v>
      </c>
      <c r="D15" s="75" t="str">
        <f t="shared" si="3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2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 x14ac:dyDescent="0.35">
      <c r="A16" s="8"/>
      <c r="B16" s="8"/>
      <c r="C16" s="17">
        <v>16</v>
      </c>
      <c r="D16" s="75" t="str">
        <f t="shared" si="3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A17" s="8"/>
      <c r="B17" s="8"/>
      <c r="C17" s="17">
        <v>20</v>
      </c>
      <c r="D17" s="75" t="str">
        <f t="shared" si="3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A18" s="8"/>
      <c r="B18" s="8"/>
      <c r="C18" s="17">
        <v>24</v>
      </c>
      <c r="D18" s="75" t="str">
        <f t="shared" si="3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A19" s="8"/>
      <c r="B19" s="8"/>
      <c r="C19" s="17">
        <v>30</v>
      </c>
      <c r="D19" s="75" t="str">
        <f t="shared" si="3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A20" s="8"/>
      <c r="B20" s="8"/>
      <c r="C20" s="17">
        <v>34</v>
      </c>
      <c r="D20" s="75" t="str">
        <f t="shared" si="3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A21" s="8"/>
      <c r="B21" s="8"/>
      <c r="C21" s="17">
        <v>40</v>
      </c>
      <c r="D21" s="75" t="str">
        <f t="shared" si="3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4">DEC2BIN(N21,5)</f>
        <v>00001</v>
      </c>
      <c r="N21" s="8">
        <v>1</v>
      </c>
      <c r="O21" s="8"/>
    </row>
    <row r="22" spans="1:55" ht="29" x14ac:dyDescent="0.35">
      <c r="A22" s="8"/>
      <c r="B22" s="8" t="s">
        <v>497</v>
      </c>
      <c r="C22" s="17" t="s">
        <v>504</v>
      </c>
      <c r="D22" s="75" t="str">
        <f t="shared" ref="D22:D27" si="5">DEC2BIN(F22,1)</f>
        <v>0</v>
      </c>
      <c r="E22" s="8"/>
      <c r="F22" s="74">
        <v>0</v>
      </c>
      <c r="G22" s="74" t="e">
        <f>LOOKUP(LDDR4_INIT!D4,LU!C22:C23,LU!D22:D23)</f>
        <v>#N/A</v>
      </c>
      <c r="H22" s="15"/>
      <c r="J22" s="8"/>
      <c r="K22" s="8"/>
      <c r="L22" s="8">
        <v>11</v>
      </c>
      <c r="M22" s="8" t="str">
        <f t="shared" si="4"/>
        <v>00010</v>
      </c>
      <c r="N22" s="8">
        <v>2</v>
      </c>
      <c r="O22" s="8"/>
    </row>
    <row r="23" spans="1:55" x14ac:dyDescent="0.35">
      <c r="A23" s="8"/>
      <c r="B23" s="8"/>
      <c r="C23" s="17" t="s">
        <v>505</v>
      </c>
      <c r="D23" s="75" t="str">
        <f t="shared" si="5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4"/>
        <v>00011</v>
      </c>
      <c r="N23" s="8">
        <v>3</v>
      </c>
      <c r="O23" s="8"/>
    </row>
    <row r="24" spans="1:55" x14ac:dyDescent="0.35">
      <c r="A24" s="81" t="s">
        <v>508</v>
      </c>
      <c r="B24" s="8" t="s">
        <v>510</v>
      </c>
      <c r="C24" s="17" t="s">
        <v>511</v>
      </c>
      <c r="D24" s="75" t="str">
        <f t="shared" si="5"/>
        <v>0</v>
      </c>
      <c r="E24" s="8"/>
      <c r="F24" s="74">
        <v>0</v>
      </c>
      <c r="G24" s="8" t="e">
        <f>LOOKUP(LDDR4_INIT!D9,LU!C24:C25,LU!D24:D25)</f>
        <v>#N/A</v>
      </c>
      <c r="H24" s="15"/>
      <c r="J24" s="8"/>
      <c r="K24" s="8"/>
      <c r="L24" s="8">
        <v>13</v>
      </c>
      <c r="M24" s="8" t="str">
        <f t="shared" si="4"/>
        <v>00100</v>
      </c>
      <c r="N24" s="8">
        <v>4</v>
      </c>
      <c r="O24" s="8"/>
    </row>
    <row r="25" spans="1:55" x14ac:dyDescent="0.35">
      <c r="A25" s="8"/>
      <c r="B25" s="8"/>
      <c r="C25" s="17" t="s">
        <v>512</v>
      </c>
      <c r="D25" s="75" t="str">
        <f t="shared" si="5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4"/>
        <v>00101</v>
      </c>
      <c r="N25" s="8">
        <v>5</v>
      </c>
      <c r="O25" s="8"/>
    </row>
    <row r="26" spans="1:55" x14ac:dyDescent="0.35">
      <c r="A26" s="8"/>
      <c r="B26" s="8" t="s">
        <v>509</v>
      </c>
      <c r="C26" s="17" t="s">
        <v>521</v>
      </c>
      <c r="D26" s="75" t="str">
        <f t="shared" si="5"/>
        <v>0</v>
      </c>
      <c r="E26" s="8"/>
      <c r="F26" s="74">
        <v>0</v>
      </c>
      <c r="G26" s="8" t="e">
        <f>LOOKUP(LDDR4_INIT!D10,LU!C26:C27,LU!D26:D27)</f>
        <v>#N/A</v>
      </c>
      <c r="H26" s="21"/>
      <c r="J26" s="8"/>
      <c r="K26" s="1"/>
      <c r="L26" s="8">
        <v>15</v>
      </c>
      <c r="M26" s="8" t="str">
        <f t="shared" si="4"/>
        <v>00110</v>
      </c>
      <c r="N26" s="8">
        <v>6</v>
      </c>
      <c r="O26" s="8"/>
    </row>
    <row r="27" spans="1:55" x14ac:dyDescent="0.35">
      <c r="A27" s="8"/>
      <c r="B27" s="8"/>
      <c r="C27" s="17" t="s">
        <v>522</v>
      </c>
      <c r="D27" s="75" t="str">
        <f t="shared" si="5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4"/>
        <v>00111</v>
      </c>
      <c r="N27" s="8">
        <v>7</v>
      </c>
      <c r="O27" s="8"/>
    </row>
    <row r="28" spans="1:55" x14ac:dyDescent="0.35">
      <c r="A28" s="8"/>
      <c r="B28" s="8" t="s">
        <v>106</v>
      </c>
      <c r="C28" s="17" t="s">
        <v>608</v>
      </c>
      <c r="D28" s="75" t="str">
        <f t="shared" ref="D28:D43" si="6">DEC2BIN(F28,3)</f>
        <v>000</v>
      </c>
      <c r="E28" s="8">
        <v>4</v>
      </c>
      <c r="F28" s="74">
        <v>0</v>
      </c>
      <c r="G28" s="76" t="e">
        <f>IF(LDDR4_INIT!D10="WL Set A (default)",LOOKUP(LDDR4_INIT!D11,LU!C28:C35,LU!D28:D35),LOOKUP(LDDR4_INIT!D11,LU!E28:E35,LU!D28:D35))</f>
        <v>#N/A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 x14ac:dyDescent="0.35">
      <c r="A29" s="8"/>
      <c r="B29" s="8"/>
      <c r="C29" s="17" t="s">
        <v>609</v>
      </c>
      <c r="D29" s="75" t="str">
        <f t="shared" si="6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 x14ac:dyDescent="0.35">
      <c r="A30" s="8"/>
      <c r="B30" s="8"/>
      <c r="C30" s="17" t="s">
        <v>610</v>
      </c>
      <c r="D30" s="75" t="str">
        <f t="shared" si="6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str">
        <f>DEC2BIN(N34,5)</f>
        <v>01110</v>
      </c>
      <c r="N30" s="8">
        <v>10</v>
      </c>
      <c r="O30" s="8"/>
    </row>
    <row r="31" spans="1:55" x14ac:dyDescent="0.35">
      <c r="A31" s="8"/>
      <c r="B31" s="8"/>
      <c r="C31" s="17" t="s">
        <v>603</v>
      </c>
      <c r="D31" s="75" t="str">
        <f t="shared" si="6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 x14ac:dyDescent="0.35">
      <c r="A32" s="8"/>
      <c r="B32" s="8"/>
      <c r="C32" s="17" t="s">
        <v>604</v>
      </c>
      <c r="D32" s="75" t="str">
        <f t="shared" si="6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 x14ac:dyDescent="0.35">
      <c r="A33" s="8"/>
      <c r="B33" s="8"/>
      <c r="C33" s="17" t="s">
        <v>605</v>
      </c>
      <c r="D33" s="75" t="str">
        <f t="shared" si="6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 x14ac:dyDescent="0.35">
      <c r="A34" s="8"/>
      <c r="B34" s="8"/>
      <c r="C34" s="17" t="s">
        <v>606</v>
      </c>
      <c r="D34" s="75" t="str">
        <f t="shared" si="6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>
        <v>14</v>
      </c>
      <c r="O34" s="8"/>
    </row>
    <row r="35" spans="1:15" x14ac:dyDescent="0.35">
      <c r="A35" s="8"/>
      <c r="B35" s="8"/>
      <c r="C35" s="17" t="s">
        <v>607</v>
      </c>
      <c r="D35" s="75" t="str">
        <f t="shared" si="6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 x14ac:dyDescent="0.35">
      <c r="A36" s="8"/>
      <c r="B36" s="8" t="s">
        <v>105</v>
      </c>
      <c r="C36" s="17" t="s">
        <v>611</v>
      </c>
      <c r="D36" s="75" t="str">
        <f t="shared" si="6"/>
        <v>000</v>
      </c>
      <c r="E36" s="8" t="s">
        <v>611</v>
      </c>
      <c r="F36" s="74">
        <v>0</v>
      </c>
      <c r="G36" s="77" t="e">
        <f>IF(LDDR4_INIT!D14="Disabled (default)",LOOKUP(LDDR4_INIT!D12,LU!C36:C43,LU!D36:D43),LOOKUP(LDDR4_INIT!D12,LU!E36:E43,LU!D36:D43))</f>
        <v>#N/A</v>
      </c>
      <c r="H36" s="21"/>
      <c r="J36" s="8"/>
      <c r="K36" s="8"/>
      <c r="L36" s="8">
        <v>25</v>
      </c>
      <c r="M36" s="8" t="str">
        <f t="shared" si="4"/>
        <v>10000</v>
      </c>
      <c r="N36" s="8">
        <v>16</v>
      </c>
      <c r="O36" s="8"/>
    </row>
    <row r="37" spans="1:15" x14ac:dyDescent="0.35">
      <c r="A37" s="8"/>
      <c r="B37" s="8"/>
      <c r="C37" s="17" t="s">
        <v>612</v>
      </c>
      <c r="D37" s="75" t="str">
        <f t="shared" si="6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4"/>
        <v>10001</v>
      </c>
      <c r="N37" s="8">
        <v>17</v>
      </c>
      <c r="O37" s="8"/>
    </row>
    <row r="38" spans="1:15" x14ac:dyDescent="0.35">
      <c r="A38" s="8"/>
      <c r="B38" s="8"/>
      <c r="C38" s="17" t="s">
        <v>613</v>
      </c>
      <c r="D38" s="75" t="str">
        <f t="shared" si="6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4"/>
        <v>10010</v>
      </c>
      <c r="N38" s="8">
        <v>18</v>
      </c>
      <c r="O38" s="8"/>
    </row>
    <row r="39" spans="1:15" x14ac:dyDescent="0.35">
      <c r="A39" s="8"/>
      <c r="B39" s="8"/>
      <c r="C39" s="17" t="s">
        <v>614</v>
      </c>
      <c r="D39" s="75" t="str">
        <f t="shared" si="6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4"/>
        <v>10011</v>
      </c>
      <c r="N39" s="8">
        <v>19</v>
      </c>
      <c r="O39" s="8"/>
    </row>
    <row r="40" spans="1:15" x14ac:dyDescent="0.35">
      <c r="A40" s="8"/>
      <c r="B40" s="8"/>
      <c r="C40" s="17" t="s">
        <v>513</v>
      </c>
      <c r="D40" s="75" t="str">
        <f t="shared" si="6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4"/>
        <v>10100</v>
      </c>
      <c r="N40" s="8">
        <v>20</v>
      </c>
      <c r="O40" s="8"/>
    </row>
    <row r="41" spans="1:15" x14ac:dyDescent="0.35">
      <c r="A41" s="8"/>
      <c r="B41" s="8"/>
      <c r="C41" s="17" t="s">
        <v>514</v>
      </c>
      <c r="D41" s="75" t="str">
        <f t="shared" si="6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4"/>
        <v>10101</v>
      </c>
      <c r="N41" s="8">
        <v>21</v>
      </c>
      <c r="O41" s="8"/>
    </row>
    <row r="42" spans="1:15" x14ac:dyDescent="0.35">
      <c r="A42" s="8"/>
      <c r="B42" s="8"/>
      <c r="C42" s="17" t="s">
        <v>515</v>
      </c>
      <c r="D42" s="75" t="str">
        <f t="shared" si="6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4"/>
        <v>10110</v>
      </c>
      <c r="N42" s="8">
        <v>22</v>
      </c>
      <c r="O42" s="8"/>
    </row>
    <row r="43" spans="1:15" x14ac:dyDescent="0.35">
      <c r="A43" s="8"/>
      <c r="B43" s="8"/>
      <c r="C43" s="17" t="s">
        <v>516</v>
      </c>
      <c r="D43" s="75" t="str">
        <f t="shared" si="6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4"/>
        <v>10111</v>
      </c>
      <c r="N43" s="8">
        <v>23</v>
      </c>
      <c r="O43" s="8"/>
    </row>
    <row r="44" spans="1:15" x14ac:dyDescent="0.35">
      <c r="A44" s="81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e">
        <f>LOOKUP(LDDR4_INIT!D13,LU!C44:C45,LU!D44:D45)</f>
        <v>#N/A</v>
      </c>
      <c r="H44" s="15"/>
      <c r="J44" s="8"/>
      <c r="K44" s="8"/>
      <c r="L44" s="8" t="s">
        <v>499</v>
      </c>
      <c r="M44" s="8" t="str">
        <f t="shared" si="4"/>
        <v>11000</v>
      </c>
      <c r="N44" s="8">
        <v>24</v>
      </c>
      <c r="O44" s="8"/>
    </row>
    <row r="45" spans="1:15" x14ac:dyDescent="0.35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 x14ac:dyDescent="0.35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e">
        <f>LOOKUP(LDDR4_INIT!D14,LU!C46:C47,LU!D46:D47)</f>
        <v>#N/A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 x14ac:dyDescent="0.35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9" t="str">
        <f>DEC2BIN(N47,2)</f>
        <v>00</v>
      </c>
      <c r="N47" s="83">
        <v>0</v>
      </c>
      <c r="O47" s="8"/>
    </row>
    <row r="48" spans="1:15" x14ac:dyDescent="0.35">
      <c r="A48" s="8"/>
      <c r="B48" s="8" t="s">
        <v>527</v>
      </c>
      <c r="C48" s="17" t="s">
        <v>530</v>
      </c>
      <c r="D48" s="75" t="str">
        <f t="shared" ref="D48:D55" si="7">DEC2BIN(F48,3)</f>
        <v>000</v>
      </c>
      <c r="E48" s="8"/>
      <c r="F48" s="74">
        <v>0</v>
      </c>
      <c r="G48" s="77" t="e">
        <f>IF(LDDR4_INIT!D15="RSVD",111,LOOKUP(LDDR4_INIT!D15,LU!C48:C55,LU!D48:D55))</f>
        <v>#N/A</v>
      </c>
      <c r="H48" s="21"/>
      <c r="J48" s="8"/>
      <c r="K48" s="8"/>
      <c r="L48" s="8" t="s">
        <v>667</v>
      </c>
      <c r="M48" s="89" t="str">
        <f>DEC2BIN(N48,2)</f>
        <v>10</v>
      </c>
      <c r="N48" s="83">
        <v>2</v>
      </c>
      <c r="O48" s="8"/>
    </row>
    <row r="49" spans="1:16" x14ac:dyDescent="0.35">
      <c r="A49" s="8"/>
      <c r="B49" s="8"/>
      <c r="C49" s="17" t="s">
        <v>531</v>
      </c>
      <c r="D49" s="75" t="str">
        <f t="shared" si="7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9" t="str">
        <f>DEC2BIN(N49,2)</f>
        <v>01</v>
      </c>
      <c r="N49" s="83">
        <v>1</v>
      </c>
      <c r="O49" s="8"/>
    </row>
    <row r="50" spans="1:16" x14ac:dyDescent="0.35">
      <c r="A50" s="8"/>
      <c r="B50" s="8"/>
      <c r="C50" s="17" t="s">
        <v>532</v>
      </c>
      <c r="D50" s="75" t="str">
        <f t="shared" si="7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9" t="str">
        <f>DEC2BIN(N50,2)</f>
        <v>11</v>
      </c>
      <c r="N50" s="83">
        <v>3</v>
      </c>
      <c r="O50" s="8"/>
    </row>
    <row r="51" spans="1:16" x14ac:dyDescent="0.35">
      <c r="A51" s="8"/>
      <c r="B51" s="8"/>
      <c r="C51" s="17" t="s">
        <v>533</v>
      </c>
      <c r="D51" s="75" t="str">
        <f t="shared" si="7"/>
        <v>011</v>
      </c>
      <c r="E51" s="8"/>
      <c r="F51" s="74">
        <v>3</v>
      </c>
      <c r="G51" s="8"/>
      <c r="H51" s="21"/>
      <c r="J51" s="81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2" t="e">
        <f>LOOKUP(DDR4_INIT!D9,LU!L51:L52,LU!M51:M52)</f>
        <v>#N/A</v>
      </c>
      <c r="P51" s="79" t="e">
        <f>_xlfn.CONCAT(O51:O53,0,0,0,O54:O56)</f>
        <v>#N/A</v>
      </c>
    </row>
    <row r="52" spans="1:16" ht="27.65" customHeight="1" x14ac:dyDescent="0.35">
      <c r="A52" s="8"/>
      <c r="B52" s="8"/>
      <c r="C52" s="17" t="s">
        <v>534</v>
      </c>
      <c r="D52" s="75" t="str">
        <f t="shared" si="7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2" t="e">
        <f>LOOKUP(DDR4_INIT!D10,LU!L53:L54,LU!M53:M54)</f>
        <v>#N/A</v>
      </c>
      <c r="P52" s="8" t="e">
        <f>BIN2HEX(MID(P51,1,5),2)</f>
        <v>#N/A</v>
      </c>
    </row>
    <row r="53" spans="1:16" x14ac:dyDescent="0.35">
      <c r="A53" s="8"/>
      <c r="B53" s="8"/>
      <c r="C53" s="17" t="s">
        <v>535</v>
      </c>
      <c r="D53" s="75" t="str">
        <f t="shared" si="7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 t="shared" ref="M53:M54" si="8">DEC2BIN(N53,1)</f>
        <v>0</v>
      </c>
      <c r="N53" s="8">
        <v>0</v>
      </c>
      <c r="O53" s="92" t="e">
        <f>LOOKUP(DDR4_INIT!D11,LU!L55:L62,LU!M55:M62)</f>
        <v>#N/A</v>
      </c>
      <c r="P53" s="8" t="e">
        <f>BIN2HEX(MID(P51,6,8),2)</f>
        <v>#N/A</v>
      </c>
    </row>
    <row r="54" spans="1:16" x14ac:dyDescent="0.35">
      <c r="A54" s="8"/>
      <c r="B54" s="8"/>
      <c r="C54" s="17" t="s">
        <v>536</v>
      </c>
      <c r="D54" s="75" t="str">
        <f t="shared" si="7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 t="shared" si="8"/>
        <v>1</v>
      </c>
      <c r="N54" s="8">
        <v>1</v>
      </c>
      <c r="O54" s="92" t="e">
        <f>LOOKUP(DDR4_INIT!D12,LU!L63:L66,LU!M63:M66)</f>
        <v>#N/A</v>
      </c>
    </row>
    <row r="55" spans="1:16" x14ac:dyDescent="0.35">
      <c r="A55" s="8"/>
      <c r="B55" s="8"/>
      <c r="C55" s="17" t="s">
        <v>129</v>
      </c>
      <c r="D55" s="75" t="str">
        <f t="shared" si="7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5" t="e">
        <f>IF(DDR4_INIT!D13="Reserved",11,LOOKUP(DDR4_INIT!D13,LU!L67:L68,LU!M67:M68))</f>
        <v>#N/A</v>
      </c>
    </row>
    <row r="56" spans="1:16" ht="29" x14ac:dyDescent="0.35">
      <c r="A56" s="8"/>
      <c r="B56" s="17" t="s">
        <v>526</v>
      </c>
      <c r="C56" s="17" t="s">
        <v>537</v>
      </c>
      <c r="D56" s="75" t="str">
        <f t="shared" ref="D56:D77" si="9">DEC2BIN(F56,1)</f>
        <v>0</v>
      </c>
      <c r="E56" s="8"/>
      <c r="F56" s="74">
        <v>0</v>
      </c>
      <c r="G56" s="8" t="e">
        <f>LOOKUP(LDDR4_INIT!D16,LU!C56:C57,LU!D56:D57)</f>
        <v>#N/A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6" t="e">
        <f>LOOKUP(DDR4_INIT!D14,LU!L70:L71,LU!M70:M71)</f>
        <v>#N/A</v>
      </c>
    </row>
    <row r="57" spans="1:16" x14ac:dyDescent="0.35">
      <c r="A57" s="8"/>
      <c r="B57" s="8"/>
      <c r="C57" s="17" t="s">
        <v>538</v>
      </c>
      <c r="D57" s="75" t="str">
        <f t="shared" si="9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10">DEC2BIN(N57,3)</f>
        <v>010</v>
      </c>
      <c r="N57" s="8">
        <v>2</v>
      </c>
      <c r="O57" s="8"/>
    </row>
    <row r="58" spans="1:16" ht="29" x14ac:dyDescent="0.35">
      <c r="A58" s="8"/>
      <c r="B58" s="8" t="s">
        <v>525</v>
      </c>
      <c r="C58" s="17" t="s">
        <v>539</v>
      </c>
      <c r="D58" s="75" t="str">
        <f t="shared" si="9"/>
        <v>0</v>
      </c>
      <c r="E58" s="8"/>
      <c r="F58" s="74">
        <v>0</v>
      </c>
      <c r="G58" s="8" t="e">
        <f>LOOKUP(LDDR4_INIT!D17,LU!C58:C59,LU!D58:D59)</f>
        <v>#N/A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6" x14ac:dyDescent="0.35">
      <c r="A59" s="8"/>
      <c r="B59" s="8"/>
      <c r="C59" s="17" t="s">
        <v>540</v>
      </c>
      <c r="D59" s="75" t="str">
        <f t="shared" si="9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6" x14ac:dyDescent="0.35">
      <c r="A60" s="8"/>
      <c r="B60" s="8" t="s">
        <v>524</v>
      </c>
      <c r="C60" s="17" t="s">
        <v>541</v>
      </c>
      <c r="D60" s="75" t="str">
        <f t="shared" si="9"/>
        <v>0</v>
      </c>
      <c r="E60" s="8"/>
      <c r="F60" s="74">
        <v>0</v>
      </c>
      <c r="G60" s="8" t="e">
        <f>LOOKUP(LDDR4_INIT!D18,LU!C60:C61,LU!D60:D61)</f>
        <v>#N/A</v>
      </c>
      <c r="H60" s="15"/>
      <c r="J60" s="8"/>
      <c r="K60" s="8"/>
      <c r="L60" s="8" t="s">
        <v>535</v>
      </c>
      <c r="M60" s="8" t="str">
        <f t="shared" si="10"/>
        <v>101</v>
      </c>
      <c r="N60" s="8">
        <v>5</v>
      </c>
      <c r="O60" s="8"/>
    </row>
    <row r="61" spans="1:16" x14ac:dyDescent="0.35">
      <c r="A61" s="8"/>
      <c r="B61" s="8"/>
      <c r="C61" s="17" t="s">
        <v>542</v>
      </c>
      <c r="D61" s="75" t="str">
        <f t="shared" si="9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6" x14ac:dyDescent="0.35">
      <c r="A62" s="81" t="s">
        <v>546</v>
      </c>
      <c r="B62" s="8" t="s">
        <v>547</v>
      </c>
      <c r="C62" s="17" t="s">
        <v>555</v>
      </c>
      <c r="D62" s="75" t="str">
        <f t="shared" si="9"/>
        <v>0</v>
      </c>
      <c r="E62" s="8"/>
      <c r="F62" s="74">
        <v>0</v>
      </c>
      <c r="G62" s="78">
        <f>IF(LDDR4_INIT!D19="Normal Operation (default)",0,1)</f>
        <v>1</v>
      </c>
      <c r="H62" s="15"/>
      <c r="J62" s="8"/>
      <c r="K62" s="8"/>
      <c r="L62" s="8" t="s">
        <v>677</v>
      </c>
      <c r="M62" s="8" t="str">
        <f t="shared" si="10"/>
        <v>111</v>
      </c>
      <c r="N62" s="8">
        <v>7</v>
      </c>
      <c r="O62" s="8"/>
    </row>
    <row r="63" spans="1:16" ht="29" x14ac:dyDescent="0.35">
      <c r="A63" s="8"/>
      <c r="B63" s="8"/>
      <c r="C63" s="17" t="s">
        <v>556</v>
      </c>
      <c r="D63" s="75" t="str">
        <f t="shared" si="9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11">DEC2BIN(N63,2)</f>
        <v>00</v>
      </c>
      <c r="N63" s="8">
        <v>0</v>
      </c>
      <c r="O63" s="8"/>
    </row>
    <row r="64" spans="1:16" x14ac:dyDescent="0.35">
      <c r="A64" s="8"/>
      <c r="B64" s="8" t="s">
        <v>548</v>
      </c>
      <c r="C64" s="17" t="s">
        <v>511</v>
      </c>
      <c r="D64" s="75" t="str">
        <f t="shared" si="9"/>
        <v>0</v>
      </c>
      <c r="E64" s="8"/>
      <c r="F64" s="74">
        <v>0</v>
      </c>
      <c r="G64" s="8" t="e">
        <f>LOOKUP(LDDR4_INIT!D20,LU!C64:C65,LU!D64:D65)</f>
        <v>#N/A</v>
      </c>
      <c r="H64" s="15"/>
      <c r="J64" s="8"/>
      <c r="K64" s="8"/>
      <c r="L64" s="8" t="s">
        <v>675</v>
      </c>
      <c r="M64" s="8" t="str">
        <f t="shared" si="11"/>
        <v>01</v>
      </c>
      <c r="N64" s="8">
        <v>1</v>
      </c>
      <c r="O64" s="8"/>
      <c r="P64" s="15"/>
    </row>
    <row r="65" spans="1:16" x14ac:dyDescent="0.35">
      <c r="A65" s="8"/>
      <c r="B65" s="8"/>
      <c r="C65" s="17" t="s">
        <v>512</v>
      </c>
      <c r="D65" s="75" t="str">
        <f t="shared" si="9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11"/>
        <v>10</v>
      </c>
      <c r="N65" s="8">
        <v>2</v>
      </c>
      <c r="O65" s="8"/>
      <c r="P65" s="15"/>
    </row>
    <row r="66" spans="1:16" x14ac:dyDescent="0.35">
      <c r="A66" s="8"/>
      <c r="B66" s="8" t="s">
        <v>549</v>
      </c>
      <c r="C66" s="17" t="s">
        <v>557</v>
      </c>
      <c r="D66" s="75" t="str">
        <f t="shared" si="9"/>
        <v>0</v>
      </c>
      <c r="E66" s="8"/>
      <c r="F66" s="74">
        <v>0</v>
      </c>
      <c r="G66" s="8" t="e">
        <f>LOOKUP(LDDR4_INIT!D21,LU!C66:C67,LU!D66:D67)</f>
        <v>#N/A</v>
      </c>
      <c r="H66" s="15"/>
      <c r="J66" s="8"/>
      <c r="K66" s="8"/>
      <c r="L66" s="8" t="s">
        <v>499</v>
      </c>
      <c r="M66" s="8" t="str">
        <f t="shared" si="11"/>
        <v>11</v>
      </c>
      <c r="N66" s="8">
        <v>3</v>
      </c>
      <c r="O66" s="8"/>
    </row>
    <row r="67" spans="1:16" ht="29" x14ac:dyDescent="0.35">
      <c r="A67" s="8"/>
      <c r="B67" s="8"/>
      <c r="C67" s="17" t="s">
        <v>626</v>
      </c>
      <c r="D67" s="75" t="str">
        <f t="shared" si="9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11"/>
        <v>01</v>
      </c>
      <c r="N67" s="8">
        <v>1</v>
      </c>
      <c r="O67" s="8"/>
    </row>
    <row r="68" spans="1:16" x14ac:dyDescent="0.35">
      <c r="A68" s="8"/>
      <c r="B68" s="8" t="s">
        <v>550</v>
      </c>
      <c r="C68" s="17" t="s">
        <v>555</v>
      </c>
      <c r="D68" s="75" t="str">
        <f t="shared" si="9"/>
        <v>0</v>
      </c>
      <c r="E68" s="8"/>
      <c r="F68" s="74">
        <v>0</v>
      </c>
      <c r="G68" s="8" t="e">
        <f>LOOKUP(LDDR4_INIT!D22,LU!C68:C69,LU!D68:D69)</f>
        <v>#N/A</v>
      </c>
      <c r="H68" s="15"/>
      <c r="J68" s="8"/>
      <c r="K68" s="8"/>
      <c r="L68" s="8" t="s">
        <v>677</v>
      </c>
      <c r="M68" s="8" t="str">
        <f t="shared" si="11"/>
        <v>00</v>
      </c>
      <c r="N68" s="8">
        <v>0</v>
      </c>
      <c r="O68" s="8"/>
    </row>
    <row r="69" spans="1:16" ht="29" x14ac:dyDescent="0.35">
      <c r="A69" s="8"/>
      <c r="B69" s="8"/>
      <c r="C69" s="17" t="s">
        <v>558</v>
      </c>
      <c r="D69" s="75" t="str">
        <f t="shared" si="9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11"/>
        <v>10</v>
      </c>
      <c r="N69" s="8">
        <v>2</v>
      </c>
      <c r="O69" s="8"/>
    </row>
    <row r="70" spans="1:16" ht="29" x14ac:dyDescent="0.35">
      <c r="A70" s="8"/>
      <c r="B70" s="8" t="s">
        <v>551</v>
      </c>
      <c r="C70" s="17" t="s">
        <v>559</v>
      </c>
      <c r="D70" s="75" t="str">
        <f t="shared" si="9"/>
        <v>0</v>
      </c>
      <c r="E70" s="8"/>
      <c r="F70" s="74">
        <v>0</v>
      </c>
      <c r="G70" s="8" t="e">
        <f>LOOKUP(LDDR4_INIT!D23,LU!C70:C71,LU!D70:D71)</f>
        <v>#N/A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x14ac:dyDescent="0.35">
      <c r="A71" s="8"/>
      <c r="B71" s="8"/>
      <c r="C71" s="17" t="s">
        <v>560</v>
      </c>
      <c r="D71" s="75" t="str">
        <f t="shared" si="9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29" x14ac:dyDescent="0.35">
      <c r="A72" s="8"/>
      <c r="B72" s="8" t="s">
        <v>552</v>
      </c>
      <c r="C72" s="17" t="s">
        <v>561</v>
      </c>
      <c r="D72" s="75" t="str">
        <f t="shared" si="9"/>
        <v>0</v>
      </c>
      <c r="E72" s="8"/>
      <c r="F72" s="74">
        <v>0</v>
      </c>
      <c r="G72" s="78">
        <f>IF(LDDR4_INIT!D24="Data Mask Operation Enabled (default)",0,1)</f>
        <v>1</v>
      </c>
      <c r="H72" s="15"/>
      <c r="J72" s="81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2" t="e">
        <f>LOOKUP(DDR4_INIT!D15,LU!L72:L73,LU!M72:M73)</f>
        <v>#N/A</v>
      </c>
      <c r="P72" s="101" t="e">
        <f>_xlfn.CONCAT(O72:O73,0,O74:O75,0,0,0)</f>
        <v>#N/A</v>
      </c>
    </row>
    <row r="73" spans="1:16" x14ac:dyDescent="0.35">
      <c r="A73" s="8"/>
      <c r="B73" s="8"/>
      <c r="C73" s="17" t="s">
        <v>562</v>
      </c>
      <c r="D73" s="75" t="str">
        <f t="shared" si="9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2" t="e">
        <f>LOOKUP(DDR4_INIT!D16,LU!L74:L78,LU!M74:M78)</f>
        <v>#N/A</v>
      </c>
      <c r="P73" s="8" t="e">
        <f>BIN2HEX(MID(P72,1,5),2)</f>
        <v>#N/A</v>
      </c>
    </row>
    <row r="74" spans="1:16" ht="29" x14ac:dyDescent="0.35">
      <c r="A74" s="8"/>
      <c r="B74" s="8" t="s">
        <v>553</v>
      </c>
      <c r="C74" s="17" t="s">
        <v>563</v>
      </c>
      <c r="D74" s="75" t="str">
        <f t="shared" si="9"/>
        <v>0</v>
      </c>
      <c r="E74" s="8"/>
      <c r="F74" s="74">
        <v>0</v>
      </c>
      <c r="G74" s="8" t="e">
        <f>LOOKUP(LDDR4_INIT!D25,LU!C74:C75,LU!D74:D75)</f>
        <v>#N/A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2" t="e">
        <f>LOOKUP(DDR4_INIT!D17,LU!L79:L82,LU!M79:M82)</f>
        <v>#N/A</v>
      </c>
      <c r="P74" s="8" t="e">
        <f>BIN2HEX(MID(P72,6,8),2)</f>
        <v>#N/A</v>
      </c>
    </row>
    <row r="75" spans="1:16" x14ac:dyDescent="0.35">
      <c r="A75" s="8"/>
      <c r="B75" s="8"/>
      <c r="C75" s="17" t="s">
        <v>564</v>
      </c>
      <c r="D75" s="75" t="str">
        <f t="shared" si="9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2" t="e">
        <f>LOOKUP(DDR4_INIT!D18,LU!L83:L90,LU!M83:M90)</f>
        <v>#N/A</v>
      </c>
    </row>
    <row r="76" spans="1:16" ht="29" x14ac:dyDescent="0.35">
      <c r="A76" s="8"/>
      <c r="B76" s="8" t="s">
        <v>554</v>
      </c>
      <c r="C76" s="17" t="s">
        <v>563</v>
      </c>
      <c r="D76" s="75" t="str">
        <f t="shared" si="9"/>
        <v>0</v>
      </c>
      <c r="E76" s="8"/>
      <c r="F76" s="74">
        <v>0</v>
      </c>
      <c r="G76" s="8" t="e">
        <f>LOOKUP(LDDR4_INIT!D26,LU!C76:C77,LU!D76:D77)</f>
        <v>#N/A</v>
      </c>
      <c r="H76" s="15"/>
      <c r="J76" s="8"/>
      <c r="K76" s="8"/>
      <c r="L76" s="8" t="s">
        <v>531</v>
      </c>
      <c r="M76" s="8" t="str">
        <f t="shared" ref="M76:M78" si="12">DEC2BIN(N76,3)</f>
        <v>010</v>
      </c>
      <c r="N76" s="8">
        <v>2</v>
      </c>
      <c r="O76" s="8"/>
    </row>
    <row r="77" spans="1:16" x14ac:dyDescent="0.35">
      <c r="A77" s="8"/>
      <c r="B77" s="8"/>
      <c r="C77" s="17" t="s">
        <v>564</v>
      </c>
      <c r="D77" s="75" t="str">
        <f t="shared" si="9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 x14ac:dyDescent="0.35">
      <c r="A78" s="81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e">
        <f>LOOKUP(LDDR4_INIT!D27,LU!C78:C81,LU!D78:D81)</f>
        <v>#N/A</v>
      </c>
      <c r="H78" s="79" t="e">
        <f>_xlfn.CONCAT(G78,G82,G90)</f>
        <v>#N/A</v>
      </c>
      <c r="J78" s="8"/>
      <c r="K78" s="8"/>
      <c r="L78" s="8" t="s">
        <v>533</v>
      </c>
      <c r="M78" s="8" t="str">
        <f t="shared" si="12"/>
        <v>100</v>
      </c>
      <c r="N78" s="8">
        <v>4</v>
      </c>
      <c r="O78" s="8"/>
    </row>
    <row r="79" spans="1:16" ht="29" x14ac:dyDescent="0.35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79" t="e">
        <f>_xlfn.CONCAT(MID(H78,1,1),MID(H78,3,3),MID(H78,2,1),MID(H78,6,3))</f>
        <v>#N/A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29" x14ac:dyDescent="0.35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29" x14ac:dyDescent="0.35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29" x14ac:dyDescent="0.35">
      <c r="A82" s="8"/>
      <c r="B82" s="8" t="s">
        <v>576</v>
      </c>
      <c r="C82" s="17" t="s">
        <v>574</v>
      </c>
      <c r="D82" s="75" t="str">
        <f t="shared" ref="D82:D97" si="13">DEC2BIN(F82,3)</f>
        <v>000</v>
      </c>
      <c r="E82" s="8"/>
      <c r="F82" s="74">
        <v>0</v>
      </c>
      <c r="G82" s="76" t="e">
        <f>IF(LDDR4_INIT!D28="RFU",111,LOOKUP(LDDR4_INIT!D28,LU!C82:C88,LU!D82:D88))</f>
        <v>#N/A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 x14ac:dyDescent="0.35">
      <c r="A83" s="8"/>
      <c r="B83" s="8"/>
      <c r="C83" s="17" t="s">
        <v>531</v>
      </c>
      <c r="D83" s="75" t="str">
        <f t="shared" si="13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>DEC2BIN(N83,3)</f>
        <v>000</v>
      </c>
      <c r="N83" s="8">
        <v>0</v>
      </c>
      <c r="O83" s="8"/>
    </row>
    <row r="84" spans="1:16" x14ac:dyDescent="0.35">
      <c r="A84" s="8"/>
      <c r="B84" s="8"/>
      <c r="C84" s="17" t="s">
        <v>532</v>
      </c>
      <c r="D84" s="75" t="str">
        <f t="shared" si="13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ref="M84:M88" si="14">DEC2BIN(N84,3)</f>
        <v>001</v>
      </c>
      <c r="N84" s="8">
        <v>1</v>
      </c>
      <c r="O84" s="8"/>
    </row>
    <row r="85" spans="1:16" x14ac:dyDescent="0.35">
      <c r="A85" s="8"/>
      <c r="B85" s="8"/>
      <c r="C85" s="17" t="s">
        <v>533</v>
      </c>
      <c r="D85" s="75" t="str">
        <f t="shared" si="13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4"/>
        <v>010</v>
      </c>
      <c r="N85" s="8">
        <v>2</v>
      </c>
      <c r="O85" s="8"/>
    </row>
    <row r="86" spans="1:16" x14ac:dyDescent="0.35">
      <c r="A86" s="8"/>
      <c r="B86" s="8"/>
      <c r="C86" s="17" t="s">
        <v>534</v>
      </c>
      <c r="D86" s="75" t="str">
        <f t="shared" si="13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4"/>
        <v>011</v>
      </c>
      <c r="N86" s="8">
        <v>3</v>
      </c>
      <c r="O86" s="8"/>
    </row>
    <row r="87" spans="1:16" x14ac:dyDescent="0.35">
      <c r="A87" s="8"/>
      <c r="B87" s="8"/>
      <c r="C87" s="17" t="s">
        <v>535</v>
      </c>
      <c r="D87" s="75" t="str">
        <f t="shared" si="13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4"/>
        <v>100</v>
      </c>
      <c r="N87" s="8">
        <v>4</v>
      </c>
      <c r="O87" s="8"/>
    </row>
    <row r="88" spans="1:16" x14ac:dyDescent="0.35">
      <c r="A88" s="8"/>
      <c r="B88" s="8"/>
      <c r="C88" s="17" t="s">
        <v>536</v>
      </c>
      <c r="D88" s="75" t="str">
        <f t="shared" si="13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4"/>
        <v>101</v>
      </c>
      <c r="N88" s="8">
        <v>5</v>
      </c>
      <c r="O88" s="8"/>
    </row>
    <row r="89" spans="1:16" x14ac:dyDescent="0.35">
      <c r="A89" s="8"/>
      <c r="B89" s="8"/>
      <c r="C89" s="17" t="s">
        <v>530</v>
      </c>
      <c r="D89" s="75" t="str">
        <f t="shared" si="13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>DEC2BIN(N89,3)</f>
        <v>110</v>
      </c>
      <c r="N89" s="8">
        <v>6</v>
      </c>
      <c r="O89" s="8"/>
    </row>
    <row r="90" spans="1:16" x14ac:dyDescent="0.35">
      <c r="A90" s="8"/>
      <c r="B90" s="8" t="s">
        <v>573</v>
      </c>
      <c r="C90" s="17" t="s">
        <v>574</v>
      </c>
      <c r="D90" s="75" t="str">
        <f t="shared" si="13"/>
        <v>000</v>
      </c>
      <c r="E90" s="8"/>
      <c r="F90" s="74">
        <v>0</v>
      </c>
      <c r="G90" s="76" t="e">
        <f>IF(LDDR4_INIT!D29="RFU",111,LOOKUP(LDDR4_INIT!D29,LU!C90:C96,LU!D90:D96))</f>
        <v>#N/A</v>
      </c>
      <c r="H90" s="21"/>
      <c r="J90" s="8"/>
      <c r="K90" s="8"/>
      <c r="L90" s="8">
        <v>20</v>
      </c>
      <c r="M90" s="8" t="str">
        <f t="shared" ref="M90" si="15">DEC2BIN(N90,3)</f>
        <v>111</v>
      </c>
      <c r="N90" s="8">
        <v>7</v>
      </c>
      <c r="O90" s="8"/>
    </row>
    <row r="91" spans="1:16" x14ac:dyDescent="0.35">
      <c r="A91" s="8"/>
      <c r="B91" s="8"/>
      <c r="C91" s="17" t="s">
        <v>531</v>
      </c>
      <c r="D91" s="75" t="str">
        <f t="shared" si="13"/>
        <v>001</v>
      </c>
      <c r="E91" s="8"/>
      <c r="F91" s="74">
        <v>1</v>
      </c>
      <c r="G91" s="8"/>
      <c r="H91" s="21"/>
      <c r="J91" s="81" t="s">
        <v>523</v>
      </c>
      <c r="K91" s="8" t="s">
        <v>695</v>
      </c>
      <c r="L91" s="8" t="s">
        <v>704</v>
      </c>
      <c r="M91" s="8" t="str">
        <f t="shared" ref="M91:M96" si="16">DEC2BIN(N91,2)</f>
        <v>01</v>
      </c>
      <c r="N91" s="8">
        <v>1</v>
      </c>
      <c r="O91" s="92" t="e">
        <f>LOOKUP(DDR4_INIT!D19,LU!L91:L93,LU!M91:M93)</f>
        <v>#N/A</v>
      </c>
      <c r="P91" s="8" t="e">
        <f>_xlfn.CONCAT(O91:O98)</f>
        <v>#N/A</v>
      </c>
    </row>
    <row r="92" spans="1:16" x14ac:dyDescent="0.35">
      <c r="A92" s="8"/>
      <c r="B92" s="8"/>
      <c r="C92" s="17" t="s">
        <v>532</v>
      </c>
      <c r="D92" s="75" t="str">
        <f t="shared" si="13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6"/>
        <v>00</v>
      </c>
      <c r="N92" s="8">
        <v>0</v>
      </c>
      <c r="O92" s="92" t="e">
        <f>LOOKUP(DDR4_INIT!D20,LU!L94:L96,LU!M94:M96)</f>
        <v>#N/A</v>
      </c>
      <c r="P92" s="8" t="e">
        <f>BIN2HEX(MID(P91,1,5),2)</f>
        <v>#N/A</v>
      </c>
    </row>
    <row r="93" spans="1:16" x14ac:dyDescent="0.35">
      <c r="A93" s="8"/>
      <c r="B93" s="8"/>
      <c r="C93" s="17" t="s">
        <v>533</v>
      </c>
      <c r="D93" s="75" t="str">
        <f t="shared" si="13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6"/>
        <v>10</v>
      </c>
      <c r="N93" s="8">
        <v>2</v>
      </c>
      <c r="O93" s="92" t="e">
        <f>LOOKUP(DDR4_INIT!D21,LU!L97:L101,LU!M97:M101)</f>
        <v>#N/A</v>
      </c>
      <c r="P93" s="8" t="e">
        <f>BIN2HEX(MID(P91,6,8),2)</f>
        <v>#N/A</v>
      </c>
    </row>
    <row r="94" spans="1:16" ht="29" x14ac:dyDescent="0.35">
      <c r="A94" s="8"/>
      <c r="B94" s="8"/>
      <c r="C94" s="17" t="s">
        <v>534</v>
      </c>
      <c r="D94" s="75" t="str">
        <f t="shared" si="13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6"/>
        <v>00</v>
      </c>
      <c r="N94" s="17">
        <v>0</v>
      </c>
      <c r="O94" s="92" t="e">
        <f>LOOKUP(DDR4_INIT!D22,LU!L102:L103,LU!M102:M103)</f>
        <v>#N/A</v>
      </c>
    </row>
    <row r="95" spans="1:16" x14ac:dyDescent="0.35">
      <c r="A95" s="8"/>
      <c r="B95" s="8"/>
      <c r="C95" s="17" t="s">
        <v>535</v>
      </c>
      <c r="D95" s="75" t="str">
        <f t="shared" si="13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6"/>
        <v>01</v>
      </c>
      <c r="N95" s="8">
        <v>1</v>
      </c>
      <c r="O95" s="92" t="e">
        <f>LOOKUP(DDR4_INIT!D23,LU!L104:L105,LU!M104:M105)</f>
        <v>#N/A</v>
      </c>
    </row>
    <row r="96" spans="1:16" x14ac:dyDescent="0.35">
      <c r="A96" s="8"/>
      <c r="B96" s="8"/>
      <c r="C96" s="17" t="s">
        <v>536</v>
      </c>
      <c r="D96" s="75" t="str">
        <f t="shared" si="13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6"/>
        <v>10</v>
      </c>
      <c r="N96" s="8">
        <v>2</v>
      </c>
      <c r="O96" s="92" t="e">
        <f>LOOKUP(DDR4_INIT!D24,LU!L106:L107,LU!M106:M107)</f>
        <v>#N/A</v>
      </c>
    </row>
    <row r="97" spans="1:15" x14ac:dyDescent="0.35">
      <c r="A97" s="8"/>
      <c r="B97" s="8"/>
      <c r="C97" s="17" t="s">
        <v>530</v>
      </c>
      <c r="D97" s="75" t="str">
        <f t="shared" si="13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2" t="e">
        <f>LOOKUP(DDR4_INIT!D25,LU!L108:L109,LU!M108:M109)</f>
        <v>#N/A</v>
      </c>
    </row>
    <row r="98" spans="1:15" x14ac:dyDescent="0.35">
      <c r="A98" s="81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e">
        <f>LOOKUP(LDDR4_INIT!D30,LU!C98:C99,LU!D98:D99)</f>
        <v>#N/A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2" t="e">
        <f>LOOKUP(DDR4_INIT!D26,LU!L110:L113,LU!M110:M113)</f>
        <v>#N/A</v>
      </c>
    </row>
    <row r="99" spans="1:15" ht="29" x14ac:dyDescent="0.35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 x14ac:dyDescent="0.35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e">
        <f>LOOKUP(LDDR4_INIT!D31,LU!D100:D150,LU!D100:D150)</f>
        <v>#N/A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 x14ac:dyDescent="0.35">
      <c r="A101" s="8"/>
      <c r="B101" s="8"/>
      <c r="C101" s="17"/>
      <c r="D101" s="75" t="str">
        <f t="shared" ref="D101:D150" si="17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 x14ac:dyDescent="0.35">
      <c r="A102" s="8"/>
      <c r="B102" s="8"/>
      <c r="C102" s="17"/>
      <c r="D102" s="75" t="str">
        <f t="shared" si="17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8">DEC2BIN(N102,1)</f>
        <v>0</v>
      </c>
      <c r="N102" s="8">
        <v>0</v>
      </c>
      <c r="O102" s="8"/>
    </row>
    <row r="103" spans="1:15" x14ac:dyDescent="0.35">
      <c r="A103" s="8"/>
      <c r="B103" s="8"/>
      <c r="C103" s="17"/>
      <c r="D103" s="75" t="str">
        <f t="shared" si="17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8"/>
        <v>1</v>
      </c>
      <c r="N103" s="8">
        <v>1</v>
      </c>
      <c r="O103" s="8"/>
    </row>
    <row r="104" spans="1:15" x14ac:dyDescent="0.35">
      <c r="A104" s="8"/>
      <c r="B104" s="8"/>
      <c r="C104" s="17"/>
      <c r="D104" s="75" t="str">
        <f t="shared" si="17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8"/>
        <v>0</v>
      </c>
      <c r="N104" s="8">
        <v>0</v>
      </c>
      <c r="O104" s="8"/>
    </row>
    <row r="105" spans="1:15" x14ac:dyDescent="0.35">
      <c r="A105" s="8"/>
      <c r="B105" s="8"/>
      <c r="C105" s="17"/>
      <c r="D105" s="75" t="str">
        <f t="shared" si="17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8"/>
        <v>1</v>
      </c>
      <c r="N105" s="8">
        <v>1</v>
      </c>
      <c r="O105" s="8"/>
    </row>
    <row r="106" spans="1:15" x14ac:dyDescent="0.35">
      <c r="A106" s="8"/>
      <c r="B106" s="8"/>
      <c r="C106" s="17"/>
      <c r="D106" s="75" t="str">
        <f t="shared" si="17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8"/>
        <v>0</v>
      </c>
      <c r="N106" s="8">
        <v>0</v>
      </c>
      <c r="O106" s="8"/>
    </row>
    <row r="107" spans="1:15" x14ac:dyDescent="0.35">
      <c r="A107" s="8"/>
      <c r="B107" s="8"/>
      <c r="C107" s="17"/>
      <c r="D107" s="75" t="str">
        <f t="shared" si="17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8"/>
        <v>1</v>
      </c>
      <c r="N107" s="8">
        <v>1</v>
      </c>
      <c r="O107" s="8"/>
    </row>
    <row r="108" spans="1:15" x14ac:dyDescent="0.35">
      <c r="A108" s="8"/>
      <c r="B108" s="8"/>
      <c r="C108" s="17"/>
      <c r="D108" s="75" t="str">
        <f t="shared" si="17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8"/>
        <v>1</v>
      </c>
      <c r="N108" s="8">
        <v>1</v>
      </c>
      <c r="O108" s="8"/>
    </row>
    <row r="109" spans="1:15" x14ac:dyDescent="0.35">
      <c r="A109" s="8"/>
      <c r="B109" s="8"/>
      <c r="C109" s="17"/>
      <c r="D109" s="75" t="str">
        <f t="shared" si="17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8"/>
        <v>0</v>
      </c>
      <c r="N109" s="8">
        <v>0</v>
      </c>
      <c r="O109" s="8"/>
    </row>
    <row r="110" spans="1:15" x14ac:dyDescent="0.35">
      <c r="A110" s="8"/>
      <c r="B110" s="8"/>
      <c r="C110" s="17"/>
      <c r="D110" s="75" t="str">
        <f t="shared" si="17"/>
        <v>001010</v>
      </c>
      <c r="E110" s="8"/>
      <c r="F110" s="74">
        <v>10</v>
      </c>
      <c r="G110" s="8"/>
      <c r="H110" s="21"/>
      <c r="J110" s="8"/>
      <c r="K110" s="102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 x14ac:dyDescent="0.35">
      <c r="A111" s="8"/>
      <c r="B111" s="8"/>
      <c r="C111" s="17"/>
      <c r="D111" s="75" t="str">
        <f t="shared" si="17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 t="shared" ref="M111:M113" si="19">DEC2BIN(N111,2)</f>
        <v>01</v>
      </c>
      <c r="N111" s="8">
        <v>1</v>
      </c>
      <c r="O111" s="8"/>
    </row>
    <row r="112" spans="1:15" x14ac:dyDescent="0.35">
      <c r="A112" s="8"/>
      <c r="B112" s="8"/>
      <c r="C112" s="17"/>
      <c r="D112" s="75" t="str">
        <f t="shared" si="17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 t="shared" si="19"/>
        <v>10</v>
      </c>
      <c r="N112" s="8">
        <v>2</v>
      </c>
      <c r="O112" s="8"/>
    </row>
    <row r="113" spans="1:16" x14ac:dyDescent="0.35">
      <c r="A113" s="8"/>
      <c r="B113" s="8"/>
      <c r="C113" s="17"/>
      <c r="D113" s="75" t="str">
        <f t="shared" si="17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 t="shared" si="19"/>
        <v>11</v>
      </c>
      <c r="N113" s="8">
        <v>3</v>
      </c>
      <c r="O113" s="8"/>
    </row>
    <row r="114" spans="1:16" x14ac:dyDescent="0.35">
      <c r="A114" s="8"/>
      <c r="B114" s="8"/>
      <c r="C114" s="17"/>
      <c r="D114" s="75" t="str">
        <f t="shared" si="17"/>
        <v>001110</v>
      </c>
      <c r="E114" s="8"/>
      <c r="F114" s="74">
        <v>14</v>
      </c>
      <c r="G114" s="8"/>
      <c r="H114" s="21"/>
      <c r="J114" s="81" t="s">
        <v>638</v>
      </c>
      <c r="K114" s="8" t="s">
        <v>721</v>
      </c>
      <c r="L114" s="8" t="s">
        <v>672</v>
      </c>
      <c r="M114" s="8" t="str">
        <f t="shared" ref="M114:M123" si="20">DEC2BIN(N114,1)</f>
        <v>0</v>
      </c>
      <c r="N114" s="8">
        <v>0</v>
      </c>
      <c r="O114" s="92" t="e">
        <f>LOOKUP(DDR4_INIT!D27,LU!L114:L115,LU!M114:M115)</f>
        <v>#N/A</v>
      </c>
      <c r="P114" s="8" t="e">
        <f>_xlfn.CONCAT(0,0,O114:O124,0)</f>
        <v>#N/A</v>
      </c>
    </row>
    <row r="115" spans="1:16" x14ac:dyDescent="0.35">
      <c r="A115" s="8"/>
      <c r="B115" s="8"/>
      <c r="C115" s="17"/>
      <c r="D115" s="75" t="str">
        <f t="shared" si="17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20"/>
        <v>1</v>
      </c>
      <c r="N115" s="8">
        <v>1</v>
      </c>
      <c r="O115" s="92" t="e">
        <f>LOOKUP(DDR4_INIT!D28,LU!L116:L117,LU!M116:M117)</f>
        <v>#N/A</v>
      </c>
      <c r="P115" s="8" t="e">
        <f>BIN2HEX(MID(P114,1,8),2)</f>
        <v>#N/A</v>
      </c>
    </row>
    <row r="116" spans="1:16" x14ac:dyDescent="0.35">
      <c r="A116" s="8"/>
      <c r="B116" s="8"/>
      <c r="C116" s="17"/>
      <c r="D116" s="75" t="str">
        <f t="shared" si="17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20"/>
        <v>0</v>
      </c>
      <c r="N116" s="8">
        <v>0</v>
      </c>
      <c r="O116" s="92" t="e">
        <f>LOOKUP(DDR4_INIT!D29,LU!L118:L119,LU!M118:M119)</f>
        <v>#N/A</v>
      </c>
      <c r="P116" s="8" t="e">
        <f>BIN2HEX(MID(P114,9,8),2)</f>
        <v>#N/A</v>
      </c>
    </row>
    <row r="117" spans="1:16" x14ac:dyDescent="0.35">
      <c r="A117" s="8"/>
      <c r="B117" s="8"/>
      <c r="C117" s="17"/>
      <c r="D117" s="75" t="str">
        <f t="shared" si="17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20"/>
        <v>1</v>
      </c>
      <c r="N117" s="8">
        <v>1</v>
      </c>
      <c r="O117" s="92" t="e">
        <f>LOOKUP(DDR4_INIT!D30,LU!L120:L121,LU!M120:M121)</f>
        <v>#N/A</v>
      </c>
    </row>
    <row r="118" spans="1:16" x14ac:dyDescent="0.35">
      <c r="A118" s="8"/>
      <c r="B118" s="8"/>
      <c r="C118" s="17"/>
      <c r="D118" s="75" t="str">
        <f t="shared" si="17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20"/>
        <v>0</v>
      </c>
      <c r="N118" s="8">
        <v>0</v>
      </c>
      <c r="O118" s="92" t="e">
        <f>LOOKUP(DDR4_INIT!D31,LU!L122:L123,LU!M122:M123)</f>
        <v>#N/A</v>
      </c>
    </row>
    <row r="119" spans="1:16" x14ac:dyDescent="0.35">
      <c r="A119" s="8"/>
      <c r="B119" s="8"/>
      <c r="C119" s="17"/>
      <c r="D119" s="75" t="str">
        <f t="shared" si="17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20"/>
        <v>1</v>
      </c>
      <c r="N119" s="8">
        <v>1</v>
      </c>
      <c r="O119" s="92" t="e">
        <f>LOOKUP(DDR4_INIT!D32,LU!L124:L129,LU!M124:M129)</f>
        <v>#N/A</v>
      </c>
    </row>
    <row r="120" spans="1:16" ht="29" x14ac:dyDescent="0.35">
      <c r="A120" s="8"/>
      <c r="B120" s="8"/>
      <c r="C120" s="17"/>
      <c r="D120" s="75" t="str">
        <f t="shared" si="17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20"/>
        <v>0</v>
      </c>
      <c r="N120" s="8">
        <v>0</v>
      </c>
      <c r="O120" s="92" t="e">
        <f>LOOKUP(DDR4_INIT!D33,LU!L130:L131,LU!M130:M131)</f>
        <v>#N/A</v>
      </c>
    </row>
    <row r="121" spans="1:16" x14ac:dyDescent="0.35">
      <c r="A121" s="8"/>
      <c r="B121" s="8"/>
      <c r="C121" s="17"/>
      <c r="D121" s="75" t="str">
        <f t="shared" si="17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20"/>
        <v>1</v>
      </c>
      <c r="N121" s="8">
        <v>1</v>
      </c>
      <c r="O121" s="92" t="e">
        <f>LOOKUP(DDR4_INIT!D34,LU!L132:L133,LU!M132:M133)</f>
        <v>#N/A</v>
      </c>
    </row>
    <row r="122" spans="1:16" x14ac:dyDescent="0.35">
      <c r="A122" s="8"/>
      <c r="B122" s="8"/>
      <c r="C122" s="17"/>
      <c r="D122" s="75" t="str">
        <f t="shared" si="17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20"/>
        <v>0</v>
      </c>
      <c r="N122" s="8">
        <v>0</v>
      </c>
      <c r="O122" s="92" t="e">
        <f>LOOKUP(DDR4_INIT!D35,LU!L134:L135,LU!M134:M135)</f>
        <v>#N/A</v>
      </c>
    </row>
    <row r="123" spans="1:16" x14ac:dyDescent="0.35">
      <c r="A123" s="8"/>
      <c r="B123" s="8"/>
      <c r="C123" s="17"/>
      <c r="D123" s="75" t="str">
        <f t="shared" si="17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20"/>
        <v>1</v>
      </c>
      <c r="N123" s="8">
        <v>1</v>
      </c>
      <c r="O123" s="92" t="e">
        <f>LOOKUP(DDR4_INIT!D36,LU!L136:L137,LU!M136:M137)</f>
        <v>#N/A</v>
      </c>
    </row>
    <row r="124" spans="1:16" x14ac:dyDescent="0.35">
      <c r="A124" s="8"/>
      <c r="B124" s="8"/>
      <c r="C124" s="17"/>
      <c r="D124" s="75" t="str">
        <f t="shared" si="17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>DEC2BIN(N124,3)</f>
        <v>000</v>
      </c>
      <c r="N124" s="8">
        <v>0</v>
      </c>
      <c r="O124" s="92" t="e">
        <f>LOOKUP(DDR4_INIT!D37,LU!L138:L139,LU!M138:M139)</f>
        <v>#N/A</v>
      </c>
    </row>
    <row r="125" spans="1:16" x14ac:dyDescent="0.35">
      <c r="A125" s="8"/>
      <c r="B125" s="8"/>
      <c r="C125" s="17"/>
      <c r="D125" s="75" t="str">
        <f t="shared" si="17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ref="M125:M129" si="21">DEC2BIN(N125,3)</f>
        <v>001</v>
      </c>
      <c r="N125" s="8">
        <v>1</v>
      </c>
      <c r="O125" s="8"/>
    </row>
    <row r="126" spans="1:16" x14ac:dyDescent="0.35">
      <c r="A126" s="8"/>
      <c r="B126" s="8"/>
      <c r="C126" s="17"/>
      <c r="D126" s="75" t="str">
        <f t="shared" si="17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21"/>
        <v>010</v>
      </c>
      <c r="N126" s="8">
        <v>2</v>
      </c>
      <c r="O126" s="8"/>
    </row>
    <row r="127" spans="1:16" x14ac:dyDescent="0.35">
      <c r="A127" s="8"/>
      <c r="B127" s="8"/>
      <c r="C127" s="17"/>
      <c r="D127" s="75" t="str">
        <f t="shared" si="17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21"/>
        <v>011</v>
      </c>
      <c r="N127" s="8">
        <v>3</v>
      </c>
      <c r="O127" s="8"/>
    </row>
    <row r="128" spans="1:16" x14ac:dyDescent="0.35">
      <c r="A128" s="8"/>
      <c r="B128" s="8"/>
      <c r="C128" s="17"/>
      <c r="D128" s="75" t="str">
        <f t="shared" si="17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21"/>
        <v>100</v>
      </c>
      <c r="N128" s="8">
        <v>4</v>
      </c>
      <c r="O128" s="8"/>
    </row>
    <row r="129" spans="1:16" x14ac:dyDescent="0.35">
      <c r="A129" s="8"/>
      <c r="B129" s="8"/>
      <c r="C129" s="17"/>
      <c r="D129" s="75" t="str">
        <f t="shared" si="17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21"/>
        <v>101</v>
      </c>
      <c r="N129" s="8">
        <v>5</v>
      </c>
      <c r="O129" s="8"/>
    </row>
    <row r="130" spans="1:16" x14ac:dyDescent="0.35">
      <c r="A130" s="8"/>
      <c r="B130" s="8"/>
      <c r="C130" s="17"/>
      <c r="D130" s="75" t="str">
        <f t="shared" si="17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22">DEC2BIN(N130,1)</f>
        <v>0</v>
      </c>
      <c r="N130" s="8">
        <v>0</v>
      </c>
      <c r="O130" s="8"/>
    </row>
    <row r="131" spans="1:16" x14ac:dyDescent="0.35">
      <c r="A131" s="8"/>
      <c r="B131" s="8"/>
      <c r="C131" s="17"/>
      <c r="D131" s="75" t="str">
        <f t="shared" si="17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22"/>
        <v>1</v>
      </c>
      <c r="N131" s="8">
        <v>1</v>
      </c>
      <c r="O131" s="8"/>
    </row>
    <row r="132" spans="1:16" x14ac:dyDescent="0.35">
      <c r="A132" s="8"/>
      <c r="B132" s="8"/>
      <c r="C132" s="17"/>
      <c r="D132" s="75" t="str">
        <f t="shared" si="17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22"/>
        <v>0</v>
      </c>
      <c r="N132" s="8">
        <v>0</v>
      </c>
      <c r="O132" s="8"/>
    </row>
    <row r="133" spans="1:16" x14ac:dyDescent="0.35">
      <c r="A133" s="8"/>
      <c r="B133" s="8"/>
      <c r="C133" s="17"/>
      <c r="D133" s="75" t="str">
        <f t="shared" si="17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22"/>
        <v>1</v>
      </c>
      <c r="N133" s="8">
        <v>1</v>
      </c>
      <c r="O133" s="8"/>
    </row>
    <row r="134" spans="1:16" ht="29" x14ac:dyDescent="0.35">
      <c r="A134" s="8"/>
      <c r="B134" s="8"/>
      <c r="C134" s="17"/>
      <c r="D134" s="75" t="str">
        <f t="shared" si="17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22"/>
        <v>0</v>
      </c>
      <c r="N134" s="8">
        <v>0</v>
      </c>
      <c r="O134" s="8"/>
    </row>
    <row r="135" spans="1:16" x14ac:dyDescent="0.35">
      <c r="A135" s="8"/>
      <c r="B135" s="8"/>
      <c r="C135" s="17"/>
      <c r="D135" s="75" t="str">
        <f t="shared" si="17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22"/>
        <v>1</v>
      </c>
      <c r="N135" s="8">
        <v>1</v>
      </c>
      <c r="O135" s="8"/>
    </row>
    <row r="136" spans="1:16" ht="29" x14ac:dyDescent="0.35">
      <c r="A136" s="8"/>
      <c r="B136" s="8"/>
      <c r="C136" s="17"/>
      <c r="D136" s="75" t="str">
        <f t="shared" si="17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22"/>
        <v>1</v>
      </c>
      <c r="N136" s="8">
        <v>1</v>
      </c>
      <c r="O136" s="8"/>
    </row>
    <row r="137" spans="1:16" x14ac:dyDescent="0.35">
      <c r="A137" s="8"/>
      <c r="B137" s="8"/>
      <c r="C137" s="17"/>
      <c r="D137" s="75" t="str">
        <f t="shared" si="17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22"/>
        <v>0</v>
      </c>
      <c r="N137" s="8">
        <v>0</v>
      </c>
      <c r="O137" s="8"/>
    </row>
    <row r="138" spans="1:16" x14ac:dyDescent="0.35">
      <c r="A138" s="8"/>
      <c r="B138" s="8"/>
      <c r="C138" s="17"/>
      <c r="D138" s="75" t="str">
        <f t="shared" si="17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22"/>
        <v>0</v>
      </c>
      <c r="N138" s="8">
        <v>0</v>
      </c>
      <c r="O138" s="8"/>
    </row>
    <row r="139" spans="1:16" x14ac:dyDescent="0.35">
      <c r="A139" s="8"/>
      <c r="B139" s="8"/>
      <c r="C139" s="17"/>
      <c r="D139" s="75" t="str">
        <f t="shared" si="17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22"/>
        <v>1</v>
      </c>
      <c r="N139" s="8">
        <v>1</v>
      </c>
      <c r="O139" s="8"/>
    </row>
    <row r="140" spans="1:16" x14ac:dyDescent="0.35">
      <c r="A140" s="8"/>
      <c r="B140" s="8"/>
      <c r="C140" s="17"/>
      <c r="D140" s="75" t="str">
        <f t="shared" si="17"/>
        <v>101000</v>
      </c>
      <c r="E140" s="8"/>
      <c r="F140" s="74">
        <v>40</v>
      </c>
      <c r="G140" s="8"/>
      <c r="H140" s="21"/>
      <c r="J140" s="81" t="s">
        <v>637</v>
      </c>
      <c r="K140" s="8" t="s">
        <v>739</v>
      </c>
      <c r="L140" s="8" t="s">
        <v>672</v>
      </c>
      <c r="M140" s="8" t="str">
        <f t="shared" si="22"/>
        <v>0</v>
      </c>
      <c r="N140" s="8">
        <v>0</v>
      </c>
      <c r="O140" s="92" t="e">
        <f>LOOKUP(DDR4_INIT!D38,LU!L140:L141,LU!M140:M141)</f>
        <v>#N/A</v>
      </c>
      <c r="P140" s="8" t="e">
        <f>_xlfn.CONCAT(O140:O148)</f>
        <v>#N/A</v>
      </c>
    </row>
    <row r="141" spans="1:16" x14ac:dyDescent="0.35">
      <c r="A141" s="8"/>
      <c r="B141" s="8"/>
      <c r="C141" s="17"/>
      <c r="D141" s="75" t="str">
        <f t="shared" si="17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22"/>
        <v>1</v>
      </c>
      <c r="N141" s="8">
        <v>1</v>
      </c>
      <c r="O141" s="92" t="e">
        <f>LOOKUP(DDR4_INIT!D39,LU!L142:L143,LU!M142:M143)</f>
        <v>#N/A</v>
      </c>
      <c r="P141" s="8" t="e">
        <f>BIN2HEX(MID(P140,1,5),2)</f>
        <v>#N/A</v>
      </c>
    </row>
    <row r="142" spans="1:16" x14ac:dyDescent="0.35">
      <c r="A142" s="8"/>
      <c r="B142" s="8"/>
      <c r="C142" s="17"/>
      <c r="D142" s="75" t="str">
        <f t="shared" si="17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22"/>
        <v>0</v>
      </c>
      <c r="N142" s="8">
        <v>0</v>
      </c>
      <c r="O142" s="92" t="e">
        <f>LOOKUP(DDR4_INIT!D40,LU!L144:L145,LU!M144:M145)</f>
        <v>#N/A</v>
      </c>
      <c r="P142" s="8" t="e">
        <f>BIN2HEX(MID(P140,6,8),2)</f>
        <v>#N/A</v>
      </c>
    </row>
    <row r="143" spans="1:16" x14ac:dyDescent="0.35">
      <c r="A143" s="8"/>
      <c r="B143" s="8"/>
      <c r="C143" s="17"/>
      <c r="D143" s="75" t="str">
        <f t="shared" si="17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22"/>
        <v>1</v>
      </c>
      <c r="N143" s="8">
        <v>1</v>
      </c>
      <c r="O143" s="92" t="e">
        <f>LOOKUP(DDR4_INIT!D41,LU!L146:L147,LU!M146:M147)</f>
        <v>#N/A</v>
      </c>
    </row>
    <row r="144" spans="1:16" x14ac:dyDescent="0.35">
      <c r="A144" s="8"/>
      <c r="B144" s="8"/>
      <c r="C144" s="17"/>
      <c r="D144" s="75" t="str">
        <f t="shared" si="17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22"/>
        <v>0</v>
      </c>
      <c r="N144" s="8">
        <v>0</v>
      </c>
      <c r="O144" s="92" t="e">
        <f>LOOKUP(DDR4_INIT!D42,LU!L148:L155,LU!M148:M155)</f>
        <v>#N/A</v>
      </c>
    </row>
    <row r="145" spans="1:15" x14ac:dyDescent="0.35">
      <c r="A145" s="8"/>
      <c r="B145" s="8"/>
      <c r="C145" s="17"/>
      <c r="D145" s="75" t="str">
        <f t="shared" si="17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22"/>
        <v>1</v>
      </c>
      <c r="N145" s="8">
        <v>1</v>
      </c>
      <c r="O145" s="92" t="e">
        <f>LOOKUP(DDR4_INIT!D43,LU!L156:L157,LU!M156:M157)</f>
        <v>#N/A</v>
      </c>
    </row>
    <row r="146" spans="1:15" x14ac:dyDescent="0.35">
      <c r="A146" s="8"/>
      <c r="B146" s="8"/>
      <c r="C146" s="17"/>
      <c r="D146" s="75" t="str">
        <f t="shared" si="17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22"/>
        <v>0</v>
      </c>
      <c r="N146" s="8">
        <v>0</v>
      </c>
      <c r="O146" s="92" t="e">
        <f>LOOKUP(DDR4_INIT!D44,LU!L158:L159,LU!M158:M159)</f>
        <v>#N/A</v>
      </c>
    </row>
    <row r="147" spans="1:15" x14ac:dyDescent="0.35">
      <c r="A147" s="8"/>
      <c r="B147" s="8"/>
      <c r="C147" s="17"/>
      <c r="D147" s="75" t="str">
        <f t="shared" si="17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22"/>
        <v>1</v>
      </c>
      <c r="N147" s="8">
        <v>1</v>
      </c>
      <c r="O147" s="92" t="e">
        <f>LOOKUP(DDR4_INIT!D45,LU!L160:L161,LU!M160:M161)</f>
        <v>#N/A</v>
      </c>
    </row>
    <row r="148" spans="1:15" x14ac:dyDescent="0.35">
      <c r="A148" s="8"/>
      <c r="B148" s="8"/>
      <c r="C148" s="17"/>
      <c r="D148" s="75" t="str">
        <f t="shared" si="17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>DEC2BIN(N148,3)</f>
        <v>000</v>
      </c>
      <c r="N148" s="8">
        <v>0</v>
      </c>
      <c r="O148" s="92" t="e">
        <f>LOOKUP(DDR4_INIT!D46,LU!L162:L166,LU!M162:M166)</f>
        <v>#N/A</v>
      </c>
    </row>
    <row r="149" spans="1:15" x14ac:dyDescent="0.35">
      <c r="A149" s="8"/>
      <c r="B149" s="8"/>
      <c r="C149" s="17"/>
      <c r="D149" s="75" t="str">
        <f t="shared" si="17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>DEC2BIN(N149,3)</f>
        <v>100</v>
      </c>
      <c r="N149" s="8">
        <v>4</v>
      </c>
      <c r="O149" s="8"/>
    </row>
    <row r="150" spans="1:15" x14ac:dyDescent="0.35">
      <c r="A150" s="8"/>
      <c r="B150" s="8"/>
      <c r="C150" s="17"/>
      <c r="D150" s="75" t="str">
        <f t="shared" si="17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ref="M150:M153" si="23">DEC2BIN(N150,3)</f>
        <v>010</v>
      </c>
      <c r="N150" s="8">
        <v>2</v>
      </c>
      <c r="O150" s="8"/>
    </row>
    <row r="151" spans="1:15" x14ac:dyDescent="0.35">
      <c r="A151" s="81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>DEC2BIN(N151,3)</f>
        <v>110</v>
      </c>
      <c r="N151" s="8">
        <v>6</v>
      </c>
      <c r="O151" s="8"/>
    </row>
    <row r="152" spans="1:15" ht="29" x14ac:dyDescent="0.35">
      <c r="A152" s="8"/>
      <c r="B152" s="8" t="s">
        <v>588</v>
      </c>
      <c r="C152" s="17" t="s">
        <v>592</v>
      </c>
      <c r="D152" s="75" t="str">
        <f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>DEC2BIN(N152,3)</f>
        <v>001</v>
      </c>
      <c r="N152" s="8">
        <v>1</v>
      </c>
      <c r="O152" s="8"/>
    </row>
    <row r="153" spans="1:15" x14ac:dyDescent="0.35">
      <c r="A153" s="8"/>
      <c r="B153" s="8"/>
      <c r="C153" s="17" t="s">
        <v>593</v>
      </c>
      <c r="D153" s="75" t="str">
        <f>DEC2BIN(F153,1)</f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23"/>
        <v>101</v>
      </c>
      <c r="N153" s="8">
        <v>5</v>
      </c>
      <c r="O153" s="8"/>
    </row>
    <row r="154" spans="1:15" ht="29" x14ac:dyDescent="0.35">
      <c r="A154" s="8"/>
      <c r="B154" s="8" t="s">
        <v>589</v>
      </c>
      <c r="C154" s="17" t="s">
        <v>594</v>
      </c>
      <c r="D154" s="75" t="str">
        <f t="shared" ref="D154:D157" si="24">DEC2BIN(F154,1)</f>
        <v>0</v>
      </c>
      <c r="E154" s="8"/>
      <c r="F154" s="74">
        <v>0</v>
      </c>
      <c r="G154" s="8" t="e">
        <f>LOOKUP(LDDR4_INIT!D34,LU!C154:C155,LU!D154:D155)</f>
        <v>#N/A</v>
      </c>
      <c r="H154" s="21"/>
      <c r="J154" s="8"/>
      <c r="K154" s="8"/>
      <c r="L154" s="8" t="s">
        <v>536</v>
      </c>
      <c r="M154" s="8" t="str">
        <f>DEC2BIN(N154,3)</f>
        <v>011</v>
      </c>
      <c r="N154" s="8">
        <v>3</v>
      </c>
      <c r="O154" s="8"/>
    </row>
    <row r="155" spans="1:15" x14ac:dyDescent="0.35">
      <c r="A155" s="8"/>
      <c r="B155" s="8"/>
      <c r="C155" s="17" t="s">
        <v>595</v>
      </c>
      <c r="D155" s="75" t="str">
        <f t="shared" si="24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ref="M155" si="25">DEC2BIN(N155,3)</f>
        <v>111</v>
      </c>
      <c r="N155" s="8">
        <v>7</v>
      </c>
      <c r="O155" s="8"/>
    </row>
    <row r="156" spans="1:15" ht="29" x14ac:dyDescent="0.35">
      <c r="A156" s="8"/>
      <c r="B156" s="8" t="s">
        <v>590</v>
      </c>
      <c r="C156" s="17" t="s">
        <v>596</v>
      </c>
      <c r="D156" s="75" t="str">
        <f t="shared" si="24"/>
        <v>0</v>
      </c>
      <c r="E156" s="8"/>
      <c r="F156" s="74">
        <v>0</v>
      </c>
      <c r="G156" s="8" t="e">
        <f>LOOKUP(LDDR4_INIT!D35,LU!C156:C157,LU!D156:D157)</f>
        <v>#N/A</v>
      </c>
      <c r="H156" s="21"/>
      <c r="J156" s="8"/>
      <c r="K156" s="44" t="s">
        <v>744</v>
      </c>
      <c r="L156" s="8" t="s">
        <v>748</v>
      </c>
      <c r="M156" s="8" t="str">
        <f t="shared" ref="M156:M161" si="26">DEC2BIN(N156,1)</f>
        <v>0</v>
      </c>
      <c r="N156" s="8">
        <v>0</v>
      </c>
      <c r="O156" s="8"/>
    </row>
    <row r="157" spans="1:15" x14ac:dyDescent="0.35">
      <c r="A157" s="8"/>
      <c r="B157" s="8"/>
      <c r="C157" s="17" t="s">
        <v>597</v>
      </c>
      <c r="D157" s="75" t="str">
        <f t="shared" si="24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6"/>
        <v>1</v>
      </c>
      <c r="N157" s="8">
        <v>1</v>
      </c>
      <c r="O157" s="8"/>
    </row>
    <row r="158" spans="1:15" x14ac:dyDescent="0.35">
      <c r="A158" s="8"/>
      <c r="B158" s="8" t="s">
        <v>591</v>
      </c>
      <c r="C158" s="17" t="s">
        <v>574</v>
      </c>
      <c r="D158" s="75" t="str">
        <f t="shared" ref="D158:D165" si="27">DEC2BIN(F158,3)</f>
        <v>000</v>
      </c>
      <c r="E158" s="8"/>
      <c r="F158" s="74">
        <v>0</v>
      </c>
      <c r="G158" s="8" t="e">
        <f>IF(LDDR4_INIT!D36="RFU",111,LOOKUP(LDDR4_INIT!D36,LU!C158:C164,LU!D158:D164))</f>
        <v>#N/A</v>
      </c>
      <c r="H158" s="21"/>
      <c r="J158" s="8"/>
      <c r="K158" s="1" t="s">
        <v>745</v>
      </c>
      <c r="L158" s="8" t="s">
        <v>750</v>
      </c>
      <c r="M158" s="8" t="str">
        <f t="shared" si="26"/>
        <v>0</v>
      </c>
      <c r="N158" s="8">
        <v>0</v>
      </c>
      <c r="O158" s="8"/>
    </row>
    <row r="159" spans="1:15" x14ac:dyDescent="0.35">
      <c r="A159" s="8"/>
      <c r="B159" s="8"/>
      <c r="C159" s="17" t="s">
        <v>531</v>
      </c>
      <c r="D159" s="75" t="str">
        <f t="shared" si="27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6"/>
        <v>1</v>
      </c>
      <c r="N159" s="8">
        <v>1</v>
      </c>
      <c r="O159" s="8"/>
    </row>
    <row r="160" spans="1:15" x14ac:dyDescent="0.35">
      <c r="A160" s="8"/>
      <c r="B160" s="8"/>
      <c r="C160" s="17" t="s">
        <v>532</v>
      </c>
      <c r="D160" s="75" t="str">
        <f t="shared" si="27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6"/>
        <v>0</v>
      </c>
      <c r="N160" s="8">
        <v>0</v>
      </c>
      <c r="O160" s="8"/>
    </row>
    <row r="161" spans="1:16" x14ac:dyDescent="0.35">
      <c r="A161" s="8"/>
      <c r="B161" s="8"/>
      <c r="C161" s="17" t="s">
        <v>533</v>
      </c>
      <c r="D161" s="75" t="str">
        <f t="shared" si="27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6"/>
        <v>1</v>
      </c>
      <c r="N161" s="8">
        <v>1</v>
      </c>
      <c r="O161" s="8"/>
    </row>
    <row r="162" spans="1:16" x14ac:dyDescent="0.35">
      <c r="A162" s="8"/>
      <c r="B162" s="8"/>
      <c r="C162" s="17" t="s">
        <v>534</v>
      </c>
      <c r="D162" s="75" t="str">
        <f t="shared" si="27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>DEC2BIN(N162,3)</f>
        <v>000</v>
      </c>
      <c r="N162" s="8">
        <v>0</v>
      </c>
      <c r="O162" s="8"/>
    </row>
    <row r="163" spans="1:16" x14ac:dyDescent="0.35">
      <c r="A163" s="8"/>
      <c r="B163" s="8"/>
      <c r="C163" s="17" t="s">
        <v>535</v>
      </c>
      <c r="D163" s="75" t="str">
        <f t="shared" si="27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>DEC2BIN(N163,3)</f>
        <v>001</v>
      </c>
      <c r="N163" s="8">
        <v>1</v>
      </c>
      <c r="O163" s="8"/>
    </row>
    <row r="164" spans="1:16" x14ac:dyDescent="0.35">
      <c r="A164" s="8"/>
      <c r="B164" s="8"/>
      <c r="C164" s="17" t="s">
        <v>536</v>
      </c>
      <c r="D164" s="75" t="str">
        <f t="shared" si="27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ref="M164" si="28">DEC2BIN(N164,3)</f>
        <v>010</v>
      </c>
      <c r="N164" s="8">
        <v>2</v>
      </c>
      <c r="O164" s="8"/>
    </row>
    <row r="165" spans="1:16" x14ac:dyDescent="0.35">
      <c r="A165" s="8"/>
      <c r="B165" s="8"/>
      <c r="C165" s="17" t="s">
        <v>530</v>
      </c>
      <c r="D165" s="75" t="str">
        <f t="shared" si="27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>DEC2BIN(N165,3)</f>
        <v>011</v>
      </c>
      <c r="N165" s="8">
        <v>3</v>
      </c>
      <c r="O165" s="8"/>
    </row>
    <row r="166" spans="1:16" x14ac:dyDescent="0.35">
      <c r="A166" s="81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e">
        <f>LOOKUP(LDDR4_INIT!D37,LU!C166:C167,LU!D166:D167)</f>
        <v>#N/A</v>
      </c>
      <c r="H166" s="21"/>
      <c r="J166" s="8"/>
      <c r="K166" s="8"/>
      <c r="L166" s="8">
        <v>8</v>
      </c>
      <c r="M166" s="8" t="str">
        <f>DEC2BIN(N166,3)</f>
        <v>100</v>
      </c>
      <c r="N166" s="8">
        <v>4</v>
      </c>
      <c r="O166" s="8"/>
    </row>
    <row r="167" spans="1:16" ht="29" x14ac:dyDescent="0.35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1" t="s">
        <v>636</v>
      </c>
      <c r="K167" s="8" t="s">
        <v>424</v>
      </c>
      <c r="L167" s="8">
        <v>4</v>
      </c>
      <c r="M167" s="8" t="str">
        <f>DEC2BIN(N167,3)</f>
        <v>000</v>
      </c>
      <c r="N167" s="8">
        <v>0</v>
      </c>
      <c r="O167" s="92" t="e">
        <f>LOOKUP(DDR4_INIT!D47,LU!L167:L171,LU!M167:M171)</f>
        <v>#N/A</v>
      </c>
      <c r="P167" s="1" t="e">
        <f>_xlfn.CONCAT(0,0,0,O167,0,0,O168:O170)</f>
        <v>#N/A</v>
      </c>
    </row>
    <row r="168" spans="1:16" x14ac:dyDescent="0.35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e">
        <f>LOOKUP(LDDR4_INIT!D38,LU!D168:D218,LU!D100:D150)</f>
        <v>#N/A</v>
      </c>
      <c r="H168" s="21"/>
      <c r="J168" s="8"/>
      <c r="K168" s="8"/>
      <c r="L168" s="8">
        <v>5</v>
      </c>
      <c r="M168" s="8" t="str">
        <f>DEC2BIN(N168,3)</f>
        <v>001</v>
      </c>
      <c r="N168" s="8">
        <v>1</v>
      </c>
      <c r="O168" s="92" t="e">
        <f>LOOKUP(DDR4_INIT!D48,LU!L172:L173,LU!M172:M173)</f>
        <v>#N/A</v>
      </c>
      <c r="P168" s="8" t="e">
        <f>BIN2HEX(MID(P167,1,8),2)</f>
        <v>#N/A</v>
      </c>
    </row>
    <row r="169" spans="1:16" x14ac:dyDescent="0.35">
      <c r="A169" s="8"/>
      <c r="B169" s="8"/>
      <c r="C169" s="8"/>
      <c r="D169" s="75" t="str">
        <f t="shared" ref="D169:D218" si="29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ref="M169" si="30">DEC2BIN(N169,3)</f>
        <v>010</v>
      </c>
      <c r="N169" s="8">
        <v>2</v>
      </c>
      <c r="O169" s="92" t="e">
        <f>LOOKUP(DDR4_INIT!D49,LU!L174:L175,LU!M174:M175)</f>
        <v>#N/A</v>
      </c>
      <c r="P169" s="8" t="e">
        <f>BIN2HEX(MID(P167,9,8),2)</f>
        <v>#N/A</v>
      </c>
    </row>
    <row r="170" spans="1:16" x14ac:dyDescent="0.35">
      <c r="A170" s="8"/>
      <c r="B170" s="8"/>
      <c r="C170" s="8"/>
      <c r="D170" s="75" t="str">
        <f t="shared" si="29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>DEC2BIN(N170,3)</f>
        <v>011</v>
      </c>
      <c r="N170" s="8">
        <v>3</v>
      </c>
      <c r="O170" s="92" t="e">
        <f>LOOKUP(DDR4_INIT!D50,LU!L176:L226,LU!L176:L226)</f>
        <v>#N/A</v>
      </c>
      <c r="P170"/>
    </row>
    <row r="171" spans="1:16" x14ac:dyDescent="0.35">
      <c r="A171" s="8"/>
      <c r="B171" s="8"/>
      <c r="C171" s="8"/>
      <c r="D171" s="75" t="str">
        <f t="shared" si="29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>DEC2BIN(N171,3)</f>
        <v>100</v>
      </c>
      <c r="N171" s="8">
        <v>4</v>
      </c>
      <c r="O171" s="8"/>
    </row>
    <row r="172" spans="1:16" x14ac:dyDescent="0.35">
      <c r="A172" s="8"/>
      <c r="B172" s="8"/>
      <c r="C172" s="8"/>
      <c r="D172" s="75" t="str">
        <f t="shared" si="29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 x14ac:dyDescent="0.35">
      <c r="A173" s="8"/>
      <c r="B173" s="8"/>
      <c r="C173" s="8"/>
      <c r="D173" s="75" t="str">
        <f t="shared" si="29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 x14ac:dyDescent="0.35">
      <c r="A174" s="8"/>
      <c r="B174" s="8"/>
      <c r="C174" s="8"/>
      <c r="D174" s="75" t="str">
        <f t="shared" si="29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 x14ac:dyDescent="0.35">
      <c r="A175" s="8"/>
      <c r="B175" s="8"/>
      <c r="C175" s="8"/>
      <c r="D175" s="75" t="str">
        <f t="shared" si="29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 x14ac:dyDescent="0.35">
      <c r="A176" s="8"/>
      <c r="B176" s="8"/>
      <c r="C176" s="8"/>
      <c r="D176" s="75" t="str">
        <f t="shared" si="29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31">DEC2BIN(N176,6)</f>
        <v>000000</v>
      </c>
      <c r="M176" s="8"/>
      <c r="N176" s="74">
        <v>0</v>
      </c>
      <c r="O176" s="8"/>
    </row>
    <row r="177" spans="1:15" x14ac:dyDescent="0.35">
      <c r="A177" s="8"/>
      <c r="B177" s="8"/>
      <c r="C177" s="8"/>
      <c r="D177" s="75" t="str">
        <f t="shared" si="29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31"/>
        <v>000001</v>
      </c>
      <c r="M177" s="8"/>
      <c r="N177" s="74">
        <v>1</v>
      </c>
      <c r="O177" s="8"/>
    </row>
    <row r="178" spans="1:15" x14ac:dyDescent="0.35">
      <c r="A178" s="8"/>
      <c r="B178" s="8"/>
      <c r="C178" s="8"/>
      <c r="D178" s="75" t="str">
        <f t="shared" si="29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31"/>
        <v>000010</v>
      </c>
      <c r="M178" s="8"/>
      <c r="N178" s="74">
        <v>2</v>
      </c>
      <c r="O178" s="8"/>
    </row>
    <row r="179" spans="1:15" x14ac:dyDescent="0.35">
      <c r="A179" s="8"/>
      <c r="B179" s="8"/>
      <c r="C179" s="8"/>
      <c r="D179" s="75" t="str">
        <f t="shared" si="29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31"/>
        <v>000011</v>
      </c>
      <c r="M179" s="8"/>
      <c r="N179" s="74">
        <v>3</v>
      </c>
      <c r="O179" s="8"/>
    </row>
    <row r="180" spans="1:15" x14ac:dyDescent="0.35">
      <c r="A180" s="8"/>
      <c r="B180" s="8"/>
      <c r="C180" s="8"/>
      <c r="D180" s="75" t="str">
        <f t="shared" si="29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31"/>
        <v>000100</v>
      </c>
      <c r="M180" s="8"/>
      <c r="N180" s="74">
        <v>4</v>
      </c>
      <c r="O180" s="8"/>
    </row>
    <row r="181" spans="1:15" x14ac:dyDescent="0.35">
      <c r="A181" s="8"/>
      <c r="B181" s="8"/>
      <c r="C181" s="8"/>
      <c r="D181" s="75" t="str">
        <f t="shared" si="29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31"/>
        <v>000101</v>
      </c>
      <c r="M181" s="8"/>
      <c r="N181" s="74">
        <v>5</v>
      </c>
      <c r="O181" s="8"/>
    </row>
    <row r="182" spans="1:15" x14ac:dyDescent="0.35">
      <c r="A182" s="8"/>
      <c r="B182" s="8"/>
      <c r="C182" s="8"/>
      <c r="D182" s="75" t="str">
        <f t="shared" si="29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31"/>
        <v>000110</v>
      </c>
      <c r="M182" s="8"/>
      <c r="N182" s="74">
        <v>6</v>
      </c>
      <c r="O182" s="8"/>
    </row>
    <row r="183" spans="1:15" x14ac:dyDescent="0.35">
      <c r="A183" s="8"/>
      <c r="B183" s="8"/>
      <c r="C183" s="8"/>
      <c r="D183" s="75" t="str">
        <f t="shared" si="29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31"/>
        <v>000111</v>
      </c>
      <c r="M183" s="8"/>
      <c r="N183" s="74">
        <v>7</v>
      </c>
      <c r="O183" s="8"/>
    </row>
    <row r="184" spans="1:15" x14ac:dyDescent="0.35">
      <c r="A184" s="8"/>
      <c r="B184" s="8"/>
      <c r="C184" s="8"/>
      <c r="D184" s="75" t="str">
        <f t="shared" si="29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31"/>
        <v>001000</v>
      </c>
      <c r="M184" s="8"/>
      <c r="N184" s="74">
        <v>8</v>
      </c>
      <c r="O184" s="8"/>
    </row>
    <row r="185" spans="1:15" x14ac:dyDescent="0.35">
      <c r="A185" s="8"/>
      <c r="B185" s="8"/>
      <c r="C185" s="8"/>
      <c r="D185" s="75" t="str">
        <f t="shared" si="29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31"/>
        <v>001001</v>
      </c>
      <c r="M185" s="8"/>
      <c r="N185" s="74">
        <v>9</v>
      </c>
      <c r="O185" s="8"/>
    </row>
    <row r="186" spans="1:15" x14ac:dyDescent="0.35">
      <c r="A186" s="8"/>
      <c r="B186" s="8"/>
      <c r="C186" s="8"/>
      <c r="D186" s="75" t="str">
        <f t="shared" si="29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31"/>
        <v>001010</v>
      </c>
      <c r="M186" s="8"/>
      <c r="N186" s="74">
        <v>10</v>
      </c>
      <c r="O186" s="8"/>
    </row>
    <row r="187" spans="1:15" x14ac:dyDescent="0.35">
      <c r="A187" s="8"/>
      <c r="B187" s="8"/>
      <c r="C187" s="8"/>
      <c r="D187" s="75" t="str">
        <f t="shared" si="29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31"/>
        <v>001011</v>
      </c>
      <c r="M187" s="8"/>
      <c r="N187" s="74">
        <v>11</v>
      </c>
      <c r="O187" s="8"/>
    </row>
    <row r="188" spans="1:15" x14ac:dyDescent="0.35">
      <c r="A188" s="8"/>
      <c r="B188" s="8"/>
      <c r="C188" s="8"/>
      <c r="D188" s="75" t="str">
        <f t="shared" si="29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31"/>
        <v>001100</v>
      </c>
      <c r="M188" s="8"/>
      <c r="N188" s="74">
        <v>12</v>
      </c>
      <c r="O188" s="8"/>
    </row>
    <row r="189" spans="1:15" x14ac:dyDescent="0.35">
      <c r="A189" s="8"/>
      <c r="B189" s="8"/>
      <c r="C189" s="8"/>
      <c r="D189" s="75" t="str">
        <f t="shared" si="29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31"/>
        <v>001101</v>
      </c>
      <c r="M189" s="8"/>
      <c r="N189" s="74">
        <v>13</v>
      </c>
      <c r="O189" s="8"/>
    </row>
    <row r="190" spans="1:15" x14ac:dyDescent="0.35">
      <c r="A190" s="8"/>
      <c r="B190" s="8"/>
      <c r="C190" s="8"/>
      <c r="D190" s="75" t="str">
        <f t="shared" si="29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31"/>
        <v>001110</v>
      </c>
      <c r="M190" s="8"/>
      <c r="N190" s="74">
        <v>14</v>
      </c>
      <c r="O190" s="8"/>
    </row>
    <row r="191" spans="1:15" x14ac:dyDescent="0.35">
      <c r="A191" s="8"/>
      <c r="B191" s="8"/>
      <c r="C191" s="8"/>
      <c r="D191" s="75" t="str">
        <f t="shared" si="29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31"/>
        <v>001111</v>
      </c>
      <c r="M191" s="8"/>
      <c r="N191" s="74">
        <v>15</v>
      </c>
      <c r="O191" s="8"/>
    </row>
    <row r="192" spans="1:15" x14ac:dyDescent="0.35">
      <c r="A192" s="8"/>
      <c r="B192" s="8"/>
      <c r="C192" s="8"/>
      <c r="D192" s="75" t="str">
        <f t="shared" si="29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31"/>
        <v>010000</v>
      </c>
      <c r="M192" s="8"/>
      <c r="N192" s="74">
        <v>16</v>
      </c>
      <c r="O192" s="8"/>
    </row>
    <row r="193" spans="1:15" x14ac:dyDescent="0.35">
      <c r="A193" s="8"/>
      <c r="B193" s="8"/>
      <c r="C193" s="8"/>
      <c r="D193" s="75" t="str">
        <f t="shared" si="29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31"/>
        <v>010001</v>
      </c>
      <c r="M193" s="8"/>
      <c r="N193" s="74">
        <v>17</v>
      </c>
      <c r="O193" s="8"/>
    </row>
    <row r="194" spans="1:15" x14ac:dyDescent="0.35">
      <c r="A194" s="8"/>
      <c r="B194" s="8"/>
      <c r="C194" s="8"/>
      <c r="D194" s="75" t="str">
        <f t="shared" si="29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31"/>
        <v>010010</v>
      </c>
      <c r="M194" s="8"/>
      <c r="N194" s="74">
        <v>18</v>
      </c>
      <c r="O194" s="8"/>
    </row>
    <row r="195" spans="1:15" x14ac:dyDescent="0.35">
      <c r="A195" s="8"/>
      <c r="B195" s="8"/>
      <c r="C195" s="8"/>
      <c r="D195" s="75" t="str">
        <f t="shared" si="29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31"/>
        <v>010011</v>
      </c>
      <c r="M195" s="8"/>
      <c r="N195" s="74">
        <v>19</v>
      </c>
      <c r="O195" s="8"/>
    </row>
    <row r="196" spans="1:15" x14ac:dyDescent="0.35">
      <c r="A196" s="8"/>
      <c r="B196" s="8"/>
      <c r="C196" s="8"/>
      <c r="D196" s="75" t="str">
        <f t="shared" si="29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31"/>
        <v>010100</v>
      </c>
      <c r="M196" s="8"/>
      <c r="N196" s="74">
        <v>20</v>
      </c>
      <c r="O196" s="8"/>
    </row>
    <row r="197" spans="1:15" x14ac:dyDescent="0.35">
      <c r="A197" s="8"/>
      <c r="B197" s="8"/>
      <c r="C197" s="8"/>
      <c r="D197" s="75" t="str">
        <f t="shared" si="29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31"/>
        <v>010101</v>
      </c>
      <c r="M197" s="8"/>
      <c r="N197" s="74">
        <v>21</v>
      </c>
      <c r="O197" s="8"/>
    </row>
    <row r="198" spans="1:15" x14ac:dyDescent="0.35">
      <c r="A198" s="8"/>
      <c r="B198" s="8"/>
      <c r="C198" s="8"/>
      <c r="D198" s="75" t="str">
        <f t="shared" si="29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31"/>
        <v>010110</v>
      </c>
      <c r="M198" s="8"/>
      <c r="N198" s="74">
        <v>22</v>
      </c>
      <c r="O198" s="8"/>
    </row>
    <row r="199" spans="1:15" x14ac:dyDescent="0.35">
      <c r="A199" s="8"/>
      <c r="B199" s="8"/>
      <c r="C199" s="8"/>
      <c r="D199" s="75" t="str">
        <f t="shared" si="29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31"/>
        <v>010111</v>
      </c>
      <c r="M199" s="8"/>
      <c r="N199" s="74">
        <v>23</v>
      </c>
      <c r="O199" s="8"/>
    </row>
    <row r="200" spans="1:15" x14ac:dyDescent="0.35">
      <c r="A200" s="8"/>
      <c r="B200" s="8"/>
      <c r="C200" s="8"/>
      <c r="D200" s="75" t="str">
        <f t="shared" si="29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31"/>
        <v>011000</v>
      </c>
      <c r="M200" s="8"/>
      <c r="N200" s="74">
        <v>24</v>
      </c>
      <c r="O200" s="8"/>
    </row>
    <row r="201" spans="1:15" x14ac:dyDescent="0.35">
      <c r="A201" s="8"/>
      <c r="B201" s="8"/>
      <c r="C201" s="8"/>
      <c r="D201" s="75" t="str">
        <f t="shared" si="29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31"/>
        <v>011001</v>
      </c>
      <c r="M201" s="8"/>
      <c r="N201" s="74">
        <v>25</v>
      </c>
      <c r="O201" s="8"/>
    </row>
    <row r="202" spans="1:15" x14ac:dyDescent="0.35">
      <c r="A202" s="8"/>
      <c r="B202" s="8"/>
      <c r="C202" s="8"/>
      <c r="D202" s="75" t="str">
        <f t="shared" si="29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31"/>
        <v>011010</v>
      </c>
      <c r="M202" s="8"/>
      <c r="N202" s="74">
        <v>26</v>
      </c>
      <c r="O202" s="8"/>
    </row>
    <row r="203" spans="1:15" x14ac:dyDescent="0.35">
      <c r="A203" s="8"/>
      <c r="B203" s="8"/>
      <c r="C203" s="8"/>
      <c r="D203" s="75" t="str">
        <f t="shared" si="29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31"/>
        <v>011011</v>
      </c>
      <c r="M203" s="8"/>
      <c r="N203" s="74">
        <v>27</v>
      </c>
      <c r="O203" s="8"/>
    </row>
    <row r="204" spans="1:15" x14ac:dyDescent="0.35">
      <c r="A204" s="8"/>
      <c r="B204" s="8"/>
      <c r="C204" s="8"/>
      <c r="D204" s="75" t="str">
        <f t="shared" si="29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31"/>
        <v>011100</v>
      </c>
      <c r="M204" s="8"/>
      <c r="N204" s="74">
        <v>28</v>
      </c>
      <c r="O204" s="8"/>
    </row>
    <row r="205" spans="1:15" x14ac:dyDescent="0.35">
      <c r="A205" s="8"/>
      <c r="B205" s="8"/>
      <c r="C205" s="8"/>
      <c r="D205" s="75" t="str">
        <f t="shared" si="29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31"/>
        <v>011101</v>
      </c>
      <c r="M205" s="8"/>
      <c r="N205" s="74">
        <v>29</v>
      </c>
      <c r="O205" s="8"/>
    </row>
    <row r="206" spans="1:15" x14ac:dyDescent="0.35">
      <c r="A206" s="8"/>
      <c r="B206" s="8"/>
      <c r="C206" s="8"/>
      <c r="D206" s="75" t="str">
        <f t="shared" si="29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31"/>
        <v>011110</v>
      </c>
      <c r="M206" s="8"/>
      <c r="N206" s="74">
        <v>30</v>
      </c>
      <c r="O206" s="8"/>
    </row>
    <row r="207" spans="1:15" x14ac:dyDescent="0.35">
      <c r="A207" s="8"/>
      <c r="B207" s="8"/>
      <c r="C207" s="8"/>
      <c r="D207" s="75" t="str">
        <f t="shared" si="29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31"/>
        <v>011111</v>
      </c>
      <c r="M207" s="8"/>
      <c r="N207" s="74">
        <v>31</v>
      </c>
      <c r="O207" s="8"/>
    </row>
    <row r="208" spans="1:15" x14ac:dyDescent="0.35">
      <c r="A208" s="8"/>
      <c r="B208" s="8"/>
      <c r="C208" s="8"/>
      <c r="D208" s="75" t="str">
        <f t="shared" si="29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32">DEC2BIN(N208,6)</f>
        <v>100000</v>
      </c>
      <c r="M208" s="8"/>
      <c r="N208" s="74">
        <v>32</v>
      </c>
      <c r="O208" s="8"/>
    </row>
    <row r="209" spans="1:15" x14ac:dyDescent="0.35">
      <c r="A209" s="8"/>
      <c r="B209" s="8"/>
      <c r="C209" s="8"/>
      <c r="D209" s="75" t="str">
        <f t="shared" si="29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32"/>
        <v>100001</v>
      </c>
      <c r="M209" s="8"/>
      <c r="N209" s="74">
        <v>33</v>
      </c>
      <c r="O209" s="8"/>
    </row>
    <row r="210" spans="1:15" x14ac:dyDescent="0.35">
      <c r="A210" s="8"/>
      <c r="B210" s="8"/>
      <c r="C210" s="8"/>
      <c r="D210" s="75" t="str">
        <f t="shared" si="29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32"/>
        <v>100010</v>
      </c>
      <c r="M210" s="8"/>
      <c r="N210" s="74">
        <v>34</v>
      </c>
      <c r="O210" s="8"/>
    </row>
    <row r="211" spans="1:15" x14ac:dyDescent="0.35">
      <c r="A211" s="8"/>
      <c r="B211" s="8"/>
      <c r="C211" s="8"/>
      <c r="D211" s="75" t="str">
        <f t="shared" si="29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32"/>
        <v>100011</v>
      </c>
      <c r="M211" s="8"/>
      <c r="N211" s="74">
        <v>35</v>
      </c>
      <c r="O211" s="8"/>
    </row>
    <row r="212" spans="1:15" x14ac:dyDescent="0.35">
      <c r="A212" s="8"/>
      <c r="B212" s="8"/>
      <c r="C212" s="8"/>
      <c r="D212" s="75" t="str">
        <f t="shared" si="29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32"/>
        <v>100100</v>
      </c>
      <c r="M212" s="8"/>
      <c r="N212" s="74">
        <v>36</v>
      </c>
      <c r="O212" s="8"/>
    </row>
    <row r="213" spans="1:15" x14ac:dyDescent="0.35">
      <c r="A213" s="8"/>
      <c r="B213" s="8"/>
      <c r="C213" s="8"/>
      <c r="D213" s="75" t="str">
        <f t="shared" si="29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32"/>
        <v>100101</v>
      </c>
      <c r="M213" s="8"/>
      <c r="N213" s="74">
        <v>37</v>
      </c>
      <c r="O213" s="8"/>
    </row>
    <row r="214" spans="1:15" x14ac:dyDescent="0.35">
      <c r="A214" s="8"/>
      <c r="B214" s="8"/>
      <c r="C214" s="8"/>
      <c r="D214" s="75" t="str">
        <f t="shared" si="29"/>
        <v>101110</v>
      </c>
      <c r="E214" s="8"/>
      <c r="F214" s="74">
        <v>46</v>
      </c>
      <c r="G214" s="8"/>
      <c r="J214" s="8"/>
      <c r="K214" s="8"/>
      <c r="L214" s="75" t="str">
        <f t="shared" si="32"/>
        <v>100110</v>
      </c>
      <c r="M214" s="8"/>
      <c r="N214" s="74">
        <v>38</v>
      </c>
      <c r="O214" s="8"/>
    </row>
    <row r="215" spans="1:15" x14ac:dyDescent="0.35">
      <c r="A215" s="8"/>
      <c r="B215" s="8"/>
      <c r="C215" s="8"/>
      <c r="D215" s="75" t="str">
        <f t="shared" si="29"/>
        <v>101111</v>
      </c>
      <c r="E215" s="8"/>
      <c r="F215" s="74">
        <v>47</v>
      </c>
      <c r="G215" s="8"/>
      <c r="J215" s="8"/>
      <c r="K215" s="8"/>
      <c r="L215" s="75" t="str">
        <f t="shared" si="32"/>
        <v>100111</v>
      </c>
      <c r="M215" s="8"/>
      <c r="N215" s="74">
        <v>39</v>
      </c>
      <c r="O215" s="8"/>
    </row>
    <row r="216" spans="1:15" x14ac:dyDescent="0.35">
      <c r="A216" s="8"/>
      <c r="B216" s="8"/>
      <c r="C216" s="8"/>
      <c r="D216" s="75" t="str">
        <f t="shared" si="29"/>
        <v>110000</v>
      </c>
      <c r="E216" s="8"/>
      <c r="F216" s="74">
        <v>48</v>
      </c>
      <c r="G216" s="8"/>
      <c r="J216" s="8"/>
      <c r="K216" s="8"/>
      <c r="L216" s="75" t="str">
        <f t="shared" si="32"/>
        <v>101000</v>
      </c>
      <c r="M216" s="8"/>
      <c r="N216" s="74">
        <v>40</v>
      </c>
      <c r="O216" s="8"/>
    </row>
    <row r="217" spans="1:15" x14ac:dyDescent="0.35">
      <c r="A217" s="8"/>
      <c r="B217" s="8"/>
      <c r="C217" s="8"/>
      <c r="D217" s="75" t="str">
        <f t="shared" si="29"/>
        <v>110001</v>
      </c>
      <c r="E217" s="8"/>
      <c r="F217" s="74">
        <v>49</v>
      </c>
      <c r="G217" s="8"/>
      <c r="J217" s="8"/>
      <c r="K217" s="8"/>
      <c r="L217" s="75" t="str">
        <f t="shared" si="32"/>
        <v>101001</v>
      </c>
      <c r="M217" s="8"/>
      <c r="N217" s="74">
        <v>41</v>
      </c>
      <c r="O217" s="8"/>
    </row>
    <row r="218" spans="1:15" x14ac:dyDescent="0.35">
      <c r="A218" s="8"/>
      <c r="B218" s="8"/>
      <c r="C218" s="8"/>
      <c r="D218" s="75" t="str">
        <f t="shared" si="29"/>
        <v>110010</v>
      </c>
      <c r="E218" s="8"/>
      <c r="F218" s="74">
        <v>50</v>
      </c>
      <c r="G218" s="8"/>
      <c r="J218" s="8"/>
      <c r="K218" s="8"/>
      <c r="L218" s="75" t="str">
        <f t="shared" si="32"/>
        <v>101010</v>
      </c>
      <c r="M218" s="8"/>
      <c r="N218" s="74">
        <v>42</v>
      </c>
      <c r="O218" s="8"/>
    </row>
    <row r="219" spans="1:15" x14ac:dyDescent="0.35">
      <c r="J219" s="8"/>
      <c r="K219" s="8"/>
      <c r="L219" s="75" t="str">
        <f t="shared" si="32"/>
        <v>101011</v>
      </c>
      <c r="M219" s="8"/>
      <c r="N219" s="74">
        <v>43</v>
      </c>
      <c r="O219" s="8"/>
    </row>
    <row r="220" spans="1:15" x14ac:dyDescent="0.35">
      <c r="J220" s="8"/>
      <c r="K220" s="8"/>
      <c r="L220" s="75" t="str">
        <f t="shared" si="32"/>
        <v>101100</v>
      </c>
      <c r="M220" s="8"/>
      <c r="N220" s="74">
        <v>44</v>
      </c>
      <c r="O220" s="8"/>
    </row>
    <row r="221" spans="1:15" x14ac:dyDescent="0.35">
      <c r="J221" s="8"/>
      <c r="K221" s="8"/>
      <c r="L221" s="75" t="str">
        <f t="shared" si="32"/>
        <v>101101</v>
      </c>
      <c r="M221" s="8"/>
      <c r="N221" s="74">
        <v>45</v>
      </c>
      <c r="O221" s="8"/>
    </row>
    <row r="222" spans="1:15" x14ac:dyDescent="0.35">
      <c r="J222" s="8"/>
      <c r="K222" s="8"/>
      <c r="L222" s="75" t="str">
        <f t="shared" si="32"/>
        <v>101110</v>
      </c>
      <c r="M222" s="8"/>
      <c r="N222" s="74">
        <v>46</v>
      </c>
      <c r="O222" s="8"/>
    </row>
    <row r="223" spans="1:15" x14ac:dyDescent="0.35">
      <c r="J223" s="8"/>
      <c r="K223" s="8"/>
      <c r="L223" s="75" t="str">
        <f t="shared" si="32"/>
        <v>101111</v>
      </c>
      <c r="M223" s="8"/>
      <c r="N223" s="74">
        <v>47</v>
      </c>
      <c r="O223" s="8"/>
    </row>
    <row r="224" spans="1:15" x14ac:dyDescent="0.35">
      <c r="J224" s="8"/>
      <c r="K224" s="8"/>
      <c r="L224" s="75" t="str">
        <f t="shared" si="32"/>
        <v>110000</v>
      </c>
      <c r="M224" s="8"/>
      <c r="N224" s="74">
        <v>48</v>
      </c>
      <c r="O224" s="8"/>
    </row>
    <row r="225" spans="1:15" x14ac:dyDescent="0.35">
      <c r="J225" s="8"/>
      <c r="K225" s="8"/>
      <c r="L225" s="75" t="str">
        <f t="shared" si="32"/>
        <v>110001</v>
      </c>
      <c r="M225" s="8"/>
      <c r="N225" s="74">
        <v>49</v>
      </c>
      <c r="O225" s="8"/>
    </row>
    <row r="226" spans="1:15" x14ac:dyDescent="0.35">
      <c r="J226" s="8"/>
      <c r="K226" s="8"/>
      <c r="L226" s="75" t="str">
        <f t="shared" si="32"/>
        <v>110010</v>
      </c>
      <c r="M226" s="8"/>
      <c r="N226" s="74">
        <v>50</v>
      </c>
      <c r="O226" s="8"/>
    </row>
    <row r="229" spans="1:15" x14ac:dyDescent="0.35">
      <c r="A229" s="106"/>
    </row>
  </sheetData>
  <sheetProtection algorithmName="SHA-512" hashValue="FI2pScA5IxIEZbNuIQWUjWd5cBbqUGYus0qo6rB5YhWhdyt45gLqjjntwKWwtbr6Ci4bNmANSpJq3bzd309mTg==" saltValue="pbXPbdyp84qwfyxvvRbuuA==" spinCount="100000" sheet="1" selectLockedCells="1"/>
  <mergeCells count="2">
    <mergeCell ref="A1:E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tREFI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Supriya Rajagopal</cp:lastModifiedBy>
  <cp:lastPrinted>2019-04-03T10:47:54Z</cp:lastPrinted>
  <dcterms:created xsi:type="dcterms:W3CDTF">2018-05-03T11:25:48Z</dcterms:created>
  <dcterms:modified xsi:type="dcterms:W3CDTF">2020-03-31T10:24:17Z</dcterms:modified>
</cp:coreProperties>
</file>