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NPS\Customers\Horizon\ShangaiX3\"/>
    </mc:Choice>
  </mc:AlternateContent>
  <xr:revisionPtr revIDLastSave="0" documentId="13_ncr:1_{D3E5419F-445E-408D-B6AD-A19BD65E6B77}" xr6:coauthVersionLast="41" xr6:coauthVersionMax="41" xr10:uidLastSave="{00000000-0000-0000-0000-000000000000}"/>
  <bookViews>
    <workbookView xWindow="-110" yWindow="-110" windowWidth="19420" windowHeight="10420" tabRatio="706" firstSheet="1" activeTab="6" xr2:uid="{00000000-000D-0000-FFFF-FFFF00000000}"/>
  </bookViews>
  <sheets>
    <sheet name="Legal Disclaimer" sheetId="10" r:id="rId1"/>
    <sheet name="Introduction" sheetId="9" r:id="rId2"/>
    <sheet name="Parameters" sheetId="7" r:id="rId3"/>
    <sheet name="DDR4_INIT" sheetId="13" r:id="rId4"/>
    <sheet name="LDDR4_INIT" sheetId="11" r:id="rId5"/>
    <sheet name="Registers_Values" sheetId="4" r:id="rId6"/>
    <sheet name="Registers_Calculation" sheetId="8" r:id="rId7"/>
    <sheet name="LU" sheetId="12" r:id="rId8"/>
  </sheets>
  <externalReferences>
    <externalReference r:id="rId9"/>
  </externalReferences>
  <definedNames>
    <definedName name="tREFI">Parameters!$D$13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8" i="8" l="1"/>
  <c r="H79" i="12"/>
  <c r="H78" i="12"/>
  <c r="M13" i="12"/>
  <c r="M12" i="12"/>
  <c r="B131" i="7"/>
  <c r="B129" i="7" s="1"/>
  <c r="D129" i="7" s="1"/>
  <c r="D213" i="8" s="1"/>
  <c r="F213" i="8" s="1"/>
  <c r="B130" i="7"/>
  <c r="B123" i="7" s="1"/>
  <c r="D123" i="7" s="1"/>
  <c r="B122" i="7"/>
  <c r="B126" i="7" s="1"/>
  <c r="D126" i="7" s="1"/>
  <c r="D195" i="8" s="1"/>
  <c r="F195" i="8" s="1"/>
  <c r="BD3" i="12"/>
  <c r="BC3" i="12"/>
  <c r="BB3" i="12"/>
  <c r="BA3" i="12"/>
  <c r="AZ3" i="12"/>
  <c r="AY3" i="12"/>
  <c r="AX3" i="12"/>
  <c r="D292" i="8" s="1"/>
  <c r="F292" i="8" s="1"/>
  <c r="AW3" i="12"/>
  <c r="D347" i="8"/>
  <c r="F347" i="8"/>
  <c r="AV3" i="12"/>
  <c r="D333" i="8"/>
  <c r="AU3" i="12"/>
  <c r="AT3" i="12"/>
  <c r="AS3" i="12"/>
  <c r="D339" i="8" s="1"/>
  <c r="F339" i="8" s="1"/>
  <c r="AR3" i="12"/>
  <c r="AQ3" i="12"/>
  <c r="AP3" i="12"/>
  <c r="D328" i="8" s="1"/>
  <c r="F328" i="8" s="1"/>
  <c r="AO3" i="12"/>
  <c r="D330" i="8"/>
  <c r="F330" i="8" s="1"/>
  <c r="AN3" i="12"/>
  <c r="D296" i="8" s="1"/>
  <c r="F296" i="8" s="1"/>
  <c r="AM3" i="12"/>
  <c r="D298" i="8" s="1"/>
  <c r="F298" i="8" s="1"/>
  <c r="AL3" i="12"/>
  <c r="AK3" i="12"/>
  <c r="D345" i="8" s="1"/>
  <c r="F345" i="8" s="1"/>
  <c r="AJ3" i="12"/>
  <c r="D319" i="8" s="1"/>
  <c r="F319" i="8" s="1"/>
  <c r="AI3" i="12"/>
  <c r="D321" i="8"/>
  <c r="F321" i="8" s="1"/>
  <c r="AH3" i="12"/>
  <c r="D287" i="8" s="1"/>
  <c r="F287" i="8" s="1"/>
  <c r="AG3" i="12"/>
  <c r="AF3" i="12"/>
  <c r="D276" i="8" s="1"/>
  <c r="F276" i="8" s="1"/>
  <c r="AE3" i="12"/>
  <c r="D278" i="8"/>
  <c r="F278" i="8" s="1"/>
  <c r="AD3" i="12"/>
  <c r="D280" i="8" s="1"/>
  <c r="F280" i="8" s="1"/>
  <c r="AC3" i="12"/>
  <c r="D282" i="8"/>
  <c r="F282" i="8" s="1"/>
  <c r="AB3" i="12"/>
  <c r="D267" i="8" s="1"/>
  <c r="F267" i="8" s="1"/>
  <c r="AA3" i="12"/>
  <c r="D269" i="8" s="1"/>
  <c r="F269" i="8" s="1"/>
  <c r="Z3" i="12"/>
  <c r="D271" i="8"/>
  <c r="F271" i="8" s="1"/>
  <c r="Y3" i="12"/>
  <c r="D273" i="8" s="1"/>
  <c r="F273" i="8" s="1"/>
  <c r="X3" i="12"/>
  <c r="D264" i="8" s="1"/>
  <c r="F264" i="8" s="1"/>
  <c r="W3" i="12"/>
  <c r="D262" i="8" s="1"/>
  <c r="F262" i="8" s="1"/>
  <c r="V3" i="12"/>
  <c r="D260" i="8" s="1"/>
  <c r="F260" i="8" s="1"/>
  <c r="U3" i="12"/>
  <c r="D257" i="8" s="1"/>
  <c r="F257" i="8" s="1"/>
  <c r="T3" i="12"/>
  <c r="S3" i="12"/>
  <c r="D253" i="8" s="1"/>
  <c r="F253" i="8" s="1"/>
  <c r="D232" i="8"/>
  <c r="D294" i="8"/>
  <c r="F294" i="8" s="1"/>
  <c r="R11" i="12"/>
  <c r="R10" i="12"/>
  <c r="R9" i="12"/>
  <c r="D301" i="8"/>
  <c r="F301" i="8" s="1"/>
  <c r="R8" i="12"/>
  <c r="D289" i="8"/>
  <c r="F289" i="8" s="1"/>
  <c r="F344" i="8"/>
  <c r="F342" i="8"/>
  <c r="F341" i="8"/>
  <c r="F346" i="8"/>
  <c r="F338" i="8"/>
  <c r="F336" i="8"/>
  <c r="F334" i="8"/>
  <c r="F332" i="8"/>
  <c r="F329" i="8"/>
  <c r="F327" i="8"/>
  <c r="F325" i="8"/>
  <c r="F323" i="8"/>
  <c r="F320" i="8"/>
  <c r="F318" i="8"/>
  <c r="F317" i="8"/>
  <c r="F314" i="8"/>
  <c r="F312" i="8"/>
  <c r="F311" i="8"/>
  <c r="F302" i="8"/>
  <c r="F300" i="8"/>
  <c r="F308" i="8"/>
  <c r="F306" i="8"/>
  <c r="F304" i="8"/>
  <c r="F297" i="8"/>
  <c r="F295" i="8"/>
  <c r="F293" i="8"/>
  <c r="F291" i="8"/>
  <c r="F288" i="8"/>
  <c r="F286" i="8"/>
  <c r="F285" i="8"/>
  <c r="D284" i="8"/>
  <c r="F284" i="8" s="1"/>
  <c r="F281" i="8"/>
  <c r="F279" i="8"/>
  <c r="F277" i="8"/>
  <c r="F275" i="8"/>
  <c r="F268" i="8"/>
  <c r="F270" i="8"/>
  <c r="F272" i="8"/>
  <c r="F266" i="8"/>
  <c r="F263" i="8"/>
  <c r="F261" i="8"/>
  <c r="F259" i="8"/>
  <c r="F256" i="8"/>
  <c r="F254" i="8"/>
  <c r="F252" i="8"/>
  <c r="F251" i="8"/>
  <c r="D313" i="8"/>
  <c r="F313" i="8" s="1"/>
  <c r="G311" i="8" s="1"/>
  <c r="D315" i="8"/>
  <c r="F315" i="8" s="1"/>
  <c r="D303" i="8"/>
  <c r="F303" i="8" s="1"/>
  <c r="D305" i="8"/>
  <c r="F305" i="8" s="1"/>
  <c r="D307" i="8"/>
  <c r="F307" i="8"/>
  <c r="D309" i="8"/>
  <c r="F309" i="8" s="1"/>
  <c r="D343" i="8"/>
  <c r="F343" i="8" s="1"/>
  <c r="D255" i="8"/>
  <c r="F255" i="8" s="1"/>
  <c r="D326" i="8"/>
  <c r="F326" i="8"/>
  <c r="D324" i="8"/>
  <c r="F324" i="8" s="1"/>
  <c r="D337" i="8"/>
  <c r="F337" i="8" s="1"/>
  <c r="D335" i="8"/>
  <c r="F335" i="8" s="1"/>
  <c r="F333" i="8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O170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M175" i="12"/>
  <c r="O169" i="12"/>
  <c r="M174" i="12"/>
  <c r="M173" i="12"/>
  <c r="O168" i="12"/>
  <c r="M172" i="12"/>
  <c r="M171" i="12"/>
  <c r="O167" i="12"/>
  <c r="M170" i="12"/>
  <c r="M169" i="12"/>
  <c r="M168" i="12"/>
  <c r="M167" i="12"/>
  <c r="M166" i="12"/>
  <c r="O148" i="12"/>
  <c r="M165" i="12"/>
  <c r="M164" i="12"/>
  <c r="M163" i="12"/>
  <c r="M162" i="12"/>
  <c r="M161" i="12"/>
  <c r="O147" i="12"/>
  <c r="M160" i="12"/>
  <c r="M159" i="12"/>
  <c r="O146" i="12"/>
  <c r="M158" i="12"/>
  <c r="M157" i="12"/>
  <c r="O145" i="12"/>
  <c r="M156" i="12"/>
  <c r="M151" i="12"/>
  <c r="M155" i="12"/>
  <c r="O144" i="12"/>
  <c r="M153" i="12"/>
  <c r="M149" i="12"/>
  <c r="M154" i="12"/>
  <c r="M150" i="12"/>
  <c r="M152" i="12"/>
  <c r="M148" i="12"/>
  <c r="M147" i="12"/>
  <c r="O143" i="12"/>
  <c r="M146" i="12"/>
  <c r="M145" i="12"/>
  <c r="O142" i="12"/>
  <c r="M144" i="12"/>
  <c r="M143" i="12"/>
  <c r="O141" i="12"/>
  <c r="M142" i="12"/>
  <c r="M141" i="12"/>
  <c r="O140" i="12"/>
  <c r="M140" i="12"/>
  <c r="M139" i="12"/>
  <c r="O124" i="12"/>
  <c r="M138" i="12"/>
  <c r="M137" i="12"/>
  <c r="O123" i="12"/>
  <c r="M136" i="12"/>
  <c r="M135" i="12"/>
  <c r="O122" i="12"/>
  <c r="M134" i="12"/>
  <c r="M133" i="12"/>
  <c r="O121" i="12"/>
  <c r="M132" i="12"/>
  <c r="M131" i="12"/>
  <c r="O120" i="12"/>
  <c r="M130" i="12"/>
  <c r="M125" i="12"/>
  <c r="M126" i="12"/>
  <c r="M127" i="12"/>
  <c r="M128" i="12"/>
  <c r="O119" i="12"/>
  <c r="M129" i="12"/>
  <c r="M124" i="12"/>
  <c r="M123" i="12"/>
  <c r="O118" i="12"/>
  <c r="M122" i="12"/>
  <c r="M121" i="12"/>
  <c r="O117" i="12"/>
  <c r="M120" i="12"/>
  <c r="M119" i="12"/>
  <c r="O116" i="12"/>
  <c r="M118" i="12"/>
  <c r="M117" i="12"/>
  <c r="O115" i="12"/>
  <c r="M116" i="12"/>
  <c r="M115" i="12"/>
  <c r="O114" i="12"/>
  <c r="M114" i="12"/>
  <c r="M111" i="12"/>
  <c r="M112" i="12"/>
  <c r="M113" i="12"/>
  <c r="O98" i="12"/>
  <c r="M110" i="12"/>
  <c r="M108" i="12"/>
  <c r="M109" i="12"/>
  <c r="O97" i="12"/>
  <c r="M107" i="12"/>
  <c r="O96" i="12"/>
  <c r="M106" i="12"/>
  <c r="M105" i="12"/>
  <c r="O95" i="12"/>
  <c r="M104" i="12"/>
  <c r="M103" i="12"/>
  <c r="O94" i="12"/>
  <c r="M102" i="12"/>
  <c r="M98" i="12"/>
  <c r="M97" i="12"/>
  <c r="M100" i="12"/>
  <c r="M99" i="12"/>
  <c r="M101" i="12"/>
  <c r="O93" i="12"/>
  <c r="M96" i="12"/>
  <c r="O92" i="12"/>
  <c r="M95" i="12"/>
  <c r="M94" i="12"/>
  <c r="M93" i="12"/>
  <c r="O91" i="12"/>
  <c r="M91" i="12"/>
  <c r="M92" i="12"/>
  <c r="M59" i="12"/>
  <c r="M57" i="12"/>
  <c r="M61" i="12"/>
  <c r="M56" i="12"/>
  <c r="M60" i="12"/>
  <c r="M58" i="12"/>
  <c r="O53" i="12"/>
  <c r="M62" i="12"/>
  <c r="M55" i="12"/>
  <c r="M51" i="12"/>
  <c r="M53" i="12"/>
  <c r="O52" i="12"/>
  <c r="M54" i="12"/>
  <c r="M52" i="12"/>
  <c r="O51" i="12"/>
  <c r="M89" i="12"/>
  <c r="M90" i="12"/>
  <c r="O75" i="12"/>
  <c r="M88" i="12"/>
  <c r="M87" i="12"/>
  <c r="M86" i="12"/>
  <c r="M85" i="12"/>
  <c r="M84" i="12"/>
  <c r="M83" i="12"/>
  <c r="M79" i="12"/>
  <c r="M80" i="12"/>
  <c r="M82" i="12"/>
  <c r="M81" i="12"/>
  <c r="M77" i="12"/>
  <c r="M76" i="12"/>
  <c r="M75" i="12"/>
  <c r="O73" i="12"/>
  <c r="M78" i="12"/>
  <c r="M74" i="12"/>
  <c r="M73" i="12"/>
  <c r="O72" i="12"/>
  <c r="M72" i="12"/>
  <c r="O55" i="12"/>
  <c r="O9" i="12"/>
  <c r="O10" i="12"/>
  <c r="M71" i="12"/>
  <c r="O56" i="12"/>
  <c r="M70" i="12"/>
  <c r="M63" i="12"/>
  <c r="M64" i="12"/>
  <c r="M65" i="12"/>
  <c r="M66" i="12"/>
  <c r="O54" i="12"/>
  <c r="M68" i="12"/>
  <c r="M67" i="12"/>
  <c r="M69" i="12"/>
  <c r="O74" i="12"/>
  <c r="M50" i="12"/>
  <c r="O11" i="12"/>
  <c r="M48" i="12"/>
  <c r="M49" i="12"/>
  <c r="M47" i="12"/>
  <c r="M46" i="12"/>
  <c r="M45" i="12"/>
  <c r="M21" i="12"/>
  <c r="M22" i="12"/>
  <c r="M23" i="12"/>
  <c r="M24" i="12"/>
  <c r="M25" i="12"/>
  <c r="M26" i="12"/>
  <c r="M27" i="12"/>
  <c r="M29" i="12"/>
  <c r="M31" i="12"/>
  <c r="M33" i="12"/>
  <c r="M35" i="12"/>
  <c r="M34" i="12"/>
  <c r="M28" i="12"/>
  <c r="M30" i="12"/>
  <c r="M32" i="12"/>
  <c r="M36" i="12"/>
  <c r="M37" i="12"/>
  <c r="M38" i="12"/>
  <c r="M39" i="12"/>
  <c r="M40" i="12"/>
  <c r="M41" i="12"/>
  <c r="M42" i="12"/>
  <c r="M43" i="12"/>
  <c r="M44" i="12"/>
  <c r="M20" i="12"/>
  <c r="M18" i="12"/>
  <c r="M19" i="12"/>
  <c r="O8" i="12"/>
  <c r="M17" i="12"/>
  <c r="O7" i="12"/>
  <c r="M16" i="12"/>
  <c r="M7" i="12"/>
  <c r="M8" i="12"/>
  <c r="O6" i="12"/>
  <c r="P6" i="12" s="1"/>
  <c r="P7" i="12" s="1"/>
  <c r="P9" i="12" s="1"/>
  <c r="M9" i="12"/>
  <c r="M10" i="12"/>
  <c r="M11" i="12"/>
  <c r="M14" i="12"/>
  <c r="M15" i="12"/>
  <c r="M6" i="12"/>
  <c r="M5" i="12"/>
  <c r="M4" i="12"/>
  <c r="M3" i="12"/>
  <c r="M2" i="12"/>
  <c r="O2" i="12"/>
  <c r="F222" i="8" s="1"/>
  <c r="G2" i="12"/>
  <c r="D5" i="12"/>
  <c r="D4" i="12"/>
  <c r="D3" i="12"/>
  <c r="D2" i="12"/>
  <c r="D6" i="12"/>
  <c r="G6" i="12"/>
  <c r="D7" i="12"/>
  <c r="D8" i="12"/>
  <c r="G62" i="12"/>
  <c r="G72" i="12"/>
  <c r="G151" i="12"/>
  <c r="G152" i="12"/>
  <c r="F239" i="8"/>
  <c r="F240" i="8"/>
  <c r="F237" i="8"/>
  <c r="D68" i="7"/>
  <c r="D238" i="8" s="1"/>
  <c r="F238" i="8" s="1"/>
  <c r="G237" i="8" s="1"/>
  <c r="D40" i="7"/>
  <c r="D230" i="8" s="1"/>
  <c r="G229" i="8" s="1"/>
  <c r="H229" i="8" s="1"/>
  <c r="D33" i="4" s="1"/>
  <c r="D39" i="7"/>
  <c r="D227" i="8" s="1"/>
  <c r="D38" i="7"/>
  <c r="D225" i="8" s="1"/>
  <c r="F225" i="8" s="1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G158" i="12"/>
  <c r="D155" i="12"/>
  <c r="D156" i="12"/>
  <c r="D157" i="12"/>
  <c r="D153" i="12"/>
  <c r="D154" i="12"/>
  <c r="D152" i="12"/>
  <c r="D99" i="12"/>
  <c r="D98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00" i="12"/>
  <c r="D90" i="12"/>
  <c r="G90" i="12"/>
  <c r="D91" i="12"/>
  <c r="D92" i="12"/>
  <c r="D93" i="12"/>
  <c r="D94" i="12"/>
  <c r="D95" i="12"/>
  <c r="D96" i="12"/>
  <c r="D97" i="12"/>
  <c r="D85" i="12"/>
  <c r="D86" i="12"/>
  <c r="D87" i="12"/>
  <c r="D88" i="12"/>
  <c r="D89" i="12"/>
  <c r="D82" i="12"/>
  <c r="G82" i="12"/>
  <c r="D83" i="12"/>
  <c r="D84" i="12"/>
  <c r="D81" i="12"/>
  <c r="D78" i="12"/>
  <c r="D79" i="12"/>
  <c r="D80" i="12"/>
  <c r="D51" i="12"/>
  <c r="D52" i="12"/>
  <c r="D53" i="12"/>
  <c r="D54" i="12"/>
  <c r="D55" i="12"/>
  <c r="D48" i="12"/>
  <c r="G48" i="12"/>
  <c r="D49" i="12"/>
  <c r="D50" i="12"/>
  <c r="D39" i="12"/>
  <c r="D40" i="12"/>
  <c r="D41" i="12"/>
  <c r="D42" i="12"/>
  <c r="D43" i="12"/>
  <c r="D36" i="12"/>
  <c r="D37" i="12"/>
  <c r="D38" i="12"/>
  <c r="D31" i="12"/>
  <c r="D32" i="12"/>
  <c r="D33" i="12"/>
  <c r="D34" i="12"/>
  <c r="D35" i="12"/>
  <c r="D28" i="12"/>
  <c r="D29" i="12"/>
  <c r="D30" i="12"/>
  <c r="D24" i="12"/>
  <c r="D25" i="12"/>
  <c r="D26" i="12"/>
  <c r="D27" i="12"/>
  <c r="D44" i="12"/>
  <c r="D45" i="12"/>
  <c r="D46" i="12"/>
  <c r="D47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23" i="12"/>
  <c r="D22" i="12"/>
  <c r="G22" i="12"/>
  <c r="D11" i="12"/>
  <c r="D12" i="12"/>
  <c r="D13" i="12"/>
  <c r="D10" i="12"/>
  <c r="D15" i="12"/>
  <c r="D16" i="12"/>
  <c r="D17" i="12"/>
  <c r="D18" i="12"/>
  <c r="D19" i="12"/>
  <c r="D20" i="12"/>
  <c r="D21" i="12"/>
  <c r="D14" i="12"/>
  <c r="D9" i="12"/>
  <c r="G230" i="8"/>
  <c r="F223" i="8"/>
  <c r="F224" i="8"/>
  <c r="F226" i="8"/>
  <c r="G10" i="12"/>
  <c r="G74" i="12"/>
  <c r="G70" i="12"/>
  <c r="G66" i="12"/>
  <c r="G58" i="12"/>
  <c r="G46" i="12"/>
  <c r="G26" i="12"/>
  <c r="G156" i="12"/>
  <c r="G36" i="12"/>
  <c r="G28" i="12"/>
  <c r="G78" i="12"/>
  <c r="G98" i="12"/>
  <c r="G166" i="12"/>
  <c r="G14" i="12"/>
  <c r="G12" i="12"/>
  <c r="G76" i="12"/>
  <c r="G68" i="12"/>
  <c r="G64" i="12"/>
  <c r="G60" i="12"/>
  <c r="G56" i="12"/>
  <c r="G44" i="12"/>
  <c r="G24" i="12"/>
  <c r="G154" i="12"/>
  <c r="D20" i="7"/>
  <c r="D3" i="4"/>
  <c r="D41" i="7"/>
  <c r="D70" i="7"/>
  <c r="D69" i="7"/>
  <c r="D41" i="8" s="1"/>
  <c r="F41" i="8" s="1"/>
  <c r="D42" i="7"/>
  <c r="D120" i="7"/>
  <c r="D116" i="7"/>
  <c r="D117" i="7"/>
  <c r="D118" i="7"/>
  <c r="D119" i="7"/>
  <c r="D121" i="7"/>
  <c r="D115" i="7"/>
  <c r="D53" i="7"/>
  <c r="D59" i="7"/>
  <c r="D37" i="7"/>
  <c r="D105" i="7"/>
  <c r="D191" i="8"/>
  <c r="F191" i="8" s="1"/>
  <c r="D58" i="7"/>
  <c r="D83" i="7"/>
  <c r="D189" i="8" s="1"/>
  <c r="D109" i="7"/>
  <c r="D218" i="8" s="1"/>
  <c r="F218" i="8" s="1"/>
  <c r="G215" i="8" s="1"/>
  <c r="D108" i="7"/>
  <c r="D206" i="8"/>
  <c r="F206" i="8" s="1"/>
  <c r="D107" i="7"/>
  <c r="D204" i="8" s="1"/>
  <c r="F204" i="8" s="1"/>
  <c r="D112" i="7"/>
  <c r="D113" i="7"/>
  <c r="D114" i="7"/>
  <c r="D202" i="8" s="1"/>
  <c r="F202" i="8" s="1"/>
  <c r="D106" i="7"/>
  <c r="D111" i="7"/>
  <c r="D183" i="8"/>
  <c r="F183" i="8" s="1"/>
  <c r="D110" i="7"/>
  <c r="D181" i="8" s="1"/>
  <c r="D66" i="7"/>
  <c r="D175" i="8" s="1"/>
  <c r="F175" i="8" s="1"/>
  <c r="D65" i="7"/>
  <c r="D78" i="7"/>
  <c r="D64" i="7"/>
  <c r="D77" i="7"/>
  <c r="D35" i="7"/>
  <c r="D165" i="8"/>
  <c r="F165" i="8" s="1"/>
  <c r="D36" i="7"/>
  <c r="D166" i="8" s="1"/>
  <c r="F166" i="8" s="1"/>
  <c r="D71" i="7"/>
  <c r="D167" i="8" s="1"/>
  <c r="F167" i="8" s="1"/>
  <c r="D34" i="7"/>
  <c r="D98" i="7"/>
  <c r="D49" i="7"/>
  <c r="D160" i="8" s="1"/>
  <c r="F160" i="8" s="1"/>
  <c r="D72" i="7"/>
  <c r="D157" i="8" s="1"/>
  <c r="F157" i="8" s="1"/>
  <c r="D48" i="7"/>
  <c r="D47" i="7"/>
  <c r="D46" i="7"/>
  <c r="D75" i="7"/>
  <c r="E45" i="8" s="1"/>
  <c r="D33" i="7"/>
  <c r="D60" i="7"/>
  <c r="D31" i="7"/>
  <c r="D32" i="7"/>
  <c r="D15" i="7"/>
  <c r="D13" i="7"/>
  <c r="D63" i="7"/>
  <c r="D149" i="8"/>
  <c r="F149" i="8" s="1"/>
  <c r="D62" i="7"/>
  <c r="D147" i="8"/>
  <c r="D135" i="8"/>
  <c r="F135" i="8" s="1"/>
  <c r="D55" i="7"/>
  <c r="D126" i="8" s="1"/>
  <c r="F126" i="8" s="1"/>
  <c r="G123" i="8" s="1"/>
  <c r="D61" i="7"/>
  <c r="D121" i="8" s="1"/>
  <c r="F121" i="8" s="1"/>
  <c r="D52" i="7"/>
  <c r="D118" i="8" s="1"/>
  <c r="F118" i="8" s="1"/>
  <c r="D116" i="8"/>
  <c r="D57" i="7"/>
  <c r="D56" i="7"/>
  <c r="D92" i="7"/>
  <c r="D101" i="8" s="1"/>
  <c r="F101" i="8" s="1"/>
  <c r="D93" i="7"/>
  <c r="D103" i="8"/>
  <c r="F103" i="8" s="1"/>
  <c r="D94" i="7"/>
  <c r="D105" i="8"/>
  <c r="F105" i="8" s="1"/>
  <c r="D95" i="7"/>
  <c r="D108" i="8"/>
  <c r="F108" i="8" s="1"/>
  <c r="D96" i="7"/>
  <c r="D113" i="8" s="1"/>
  <c r="F113" i="8" s="1"/>
  <c r="D130" i="8"/>
  <c r="F130" i="8" s="1"/>
  <c r="G130" i="8" s="1"/>
  <c r="D132" i="8"/>
  <c r="F132" i="8" s="1"/>
  <c r="D99" i="7"/>
  <c r="D138" i="8" s="1"/>
  <c r="F138" i="8" s="1"/>
  <c r="D100" i="7"/>
  <c r="D140" i="8" s="1"/>
  <c r="F140" i="8" s="1"/>
  <c r="D101" i="7"/>
  <c r="D102" i="7"/>
  <c r="D67" i="7"/>
  <c r="D151" i="8" s="1"/>
  <c r="D91" i="7"/>
  <c r="D99" i="8" s="1"/>
  <c r="F99" i="8" s="1"/>
  <c r="D90" i="7"/>
  <c r="D96" i="8" s="1"/>
  <c r="F96" i="8" s="1"/>
  <c r="D89" i="7"/>
  <c r="D95" i="8" s="1"/>
  <c r="F95" i="8" s="1"/>
  <c r="D88" i="7"/>
  <c r="D93" i="8" s="1"/>
  <c r="F93" i="8" s="1"/>
  <c r="D87" i="7"/>
  <c r="D91" i="8" s="1"/>
  <c r="F91" i="8" s="1"/>
  <c r="D86" i="7"/>
  <c r="D85" i="7"/>
  <c r="D85" i="8"/>
  <c r="F85" i="8" s="1"/>
  <c r="D84" i="7"/>
  <c r="D83" i="8" s="1"/>
  <c r="F83" i="8" s="1"/>
  <c r="D97" i="7"/>
  <c r="D80" i="8" s="1"/>
  <c r="F80" i="8" s="1"/>
  <c r="D79" i="7"/>
  <c r="D77" i="8" s="1"/>
  <c r="F77" i="8" s="1"/>
  <c r="D82" i="7"/>
  <c r="D75" i="8" s="1"/>
  <c r="F75" i="8" s="1"/>
  <c r="D81" i="7"/>
  <c r="D73" i="8" s="1"/>
  <c r="F73" i="8" s="1"/>
  <c r="D80" i="7"/>
  <c r="D71" i="8" s="1"/>
  <c r="F71" i="8" s="1"/>
  <c r="D28" i="7"/>
  <c r="D29" i="7"/>
  <c r="D54" i="8" s="1"/>
  <c r="F54" i="8" s="1"/>
  <c r="D43" i="7"/>
  <c r="D27" i="7"/>
  <c r="D54" i="7"/>
  <c r="D76" i="7"/>
  <c r="D23" i="7"/>
  <c r="D24" i="7"/>
  <c r="D25" i="7"/>
  <c r="D26" i="7"/>
  <c r="D22" i="7"/>
  <c r="D25" i="8" s="1"/>
  <c r="F25" i="8" s="1"/>
  <c r="D130" i="7"/>
  <c r="D30" i="7"/>
  <c r="D8" i="8" s="1"/>
  <c r="F8" i="8" s="1"/>
  <c r="D21" i="7"/>
  <c r="D74" i="7"/>
  <c r="D45" i="7"/>
  <c r="D44" i="7"/>
  <c r="D32" i="8" s="1"/>
  <c r="F32" i="8" s="1"/>
  <c r="D51" i="7"/>
  <c r="D19" i="7"/>
  <c r="D20" i="8" s="1"/>
  <c r="F20" i="8" s="1"/>
  <c r="D18" i="7"/>
  <c r="D17" i="7"/>
  <c r="D16" i="8" s="1"/>
  <c r="F16" i="8" s="1"/>
  <c r="D16" i="7"/>
  <c r="D12" i="8" s="1"/>
  <c r="F12" i="8" s="1"/>
  <c r="D73" i="7"/>
  <c r="D50" i="7"/>
  <c r="D14" i="7"/>
  <c r="D131" i="7"/>
  <c r="D110" i="8"/>
  <c r="F110" i="8" s="1"/>
  <c r="D172" i="8"/>
  <c r="F172" i="8" s="1"/>
  <c r="D170" i="8"/>
  <c r="F170" i="8" s="1"/>
  <c r="F176" i="8"/>
  <c r="F174" i="8"/>
  <c r="F171" i="8"/>
  <c r="F169" i="8"/>
  <c r="F168" i="8"/>
  <c r="D164" i="8"/>
  <c r="D177" i="8" s="1"/>
  <c r="F177" i="8" s="1"/>
  <c r="F217" i="8"/>
  <c r="F216" i="8"/>
  <c r="F215" i="8"/>
  <c r="F143" i="8"/>
  <c r="F141" i="8"/>
  <c r="F139" i="8"/>
  <c r="F134" i="8"/>
  <c r="F131" i="8"/>
  <c r="F133" i="8"/>
  <c r="F104" i="8"/>
  <c r="F102" i="8"/>
  <c r="F100" i="8"/>
  <c r="F98" i="8"/>
  <c r="F90" i="8"/>
  <c r="F94" i="8"/>
  <c r="F92" i="8"/>
  <c r="F89" i="8"/>
  <c r="F86" i="8"/>
  <c r="F84" i="8"/>
  <c r="F81" i="8"/>
  <c r="F82" i="8"/>
  <c r="F79" i="8"/>
  <c r="F76" i="8"/>
  <c r="F74" i="8"/>
  <c r="F72" i="8"/>
  <c r="F70" i="8"/>
  <c r="D144" i="8"/>
  <c r="F144" i="8" s="1"/>
  <c r="D142" i="8"/>
  <c r="F142" i="8" s="1"/>
  <c r="D62" i="8"/>
  <c r="F62" i="8" s="1"/>
  <c r="G56" i="8" s="1"/>
  <c r="D162" i="8"/>
  <c r="F162" i="8" s="1"/>
  <c r="F124" i="8"/>
  <c r="F123" i="8"/>
  <c r="F125" i="8"/>
  <c r="F38" i="8"/>
  <c r="F212" i="8"/>
  <c r="F210" i="8"/>
  <c r="F209" i="8"/>
  <c r="F205" i="8"/>
  <c r="F203" i="8"/>
  <c r="D200" i="8"/>
  <c r="F200" i="8" s="1"/>
  <c r="D201" i="8"/>
  <c r="F201" i="8" s="1"/>
  <c r="F196" i="8"/>
  <c r="F194" i="8"/>
  <c r="F192" i="8"/>
  <c r="F190" i="8"/>
  <c r="F186" i="8"/>
  <c r="F184" i="8"/>
  <c r="F179" i="8"/>
  <c r="F161" i="8"/>
  <c r="F159" i="8"/>
  <c r="F153" i="8"/>
  <c r="F156" i="8"/>
  <c r="F155" i="8"/>
  <c r="F152" i="8"/>
  <c r="F148" i="8"/>
  <c r="F146" i="8"/>
  <c r="F119" i="8"/>
  <c r="F117" i="8"/>
  <c r="F115" i="8"/>
  <c r="F120" i="8"/>
  <c r="F112" i="8"/>
  <c r="F111" i="8"/>
  <c r="F109" i="8"/>
  <c r="F107" i="8"/>
  <c r="F65" i="8"/>
  <c r="F67" i="8"/>
  <c r="F64" i="8"/>
  <c r="F60" i="8"/>
  <c r="F61" i="8"/>
  <c r="F57" i="8"/>
  <c r="F58" i="8"/>
  <c r="F59" i="8"/>
  <c r="F56" i="8"/>
  <c r="F53" i="8"/>
  <c r="F49" i="8"/>
  <c r="F47" i="8"/>
  <c r="F51" i="8"/>
  <c r="F44" i="8"/>
  <c r="F42" i="8"/>
  <c r="F40" i="8"/>
  <c r="F15" i="8"/>
  <c r="F14" i="8"/>
  <c r="F35" i="8"/>
  <c r="F33" i="8"/>
  <c r="F31" i="8"/>
  <c r="F28" i="8"/>
  <c r="F26" i="8"/>
  <c r="F24" i="8"/>
  <c r="F22" i="8"/>
  <c r="F19" i="8"/>
  <c r="F17" i="8"/>
  <c r="F11" i="8"/>
  <c r="F7" i="8"/>
  <c r="F9" i="8"/>
  <c r="F5" i="8"/>
  <c r="F116" i="8"/>
  <c r="D10" i="8"/>
  <c r="F10" i="8" s="1"/>
  <c r="F147" i="8"/>
  <c r="D48" i="8"/>
  <c r="F48" i="8" s="1"/>
  <c r="B125" i="7"/>
  <c r="D125" i="7" s="1"/>
  <c r="D193" i="8" s="1"/>
  <c r="F193" i="8" s="1"/>
  <c r="B124" i="7"/>
  <c r="D124" i="7" s="1"/>
  <c r="D187" i="8" s="1"/>
  <c r="F187" i="8" s="1"/>
  <c r="D23" i="8"/>
  <c r="F23" i="8" s="1"/>
  <c r="G168" i="12"/>
  <c r="G100" i="12"/>
  <c r="D185" i="8"/>
  <c r="F185" i="8" s="1"/>
  <c r="P72" i="12" l="1"/>
  <c r="P140" i="12"/>
  <c r="P141" i="12" s="1"/>
  <c r="D246" i="8" s="1"/>
  <c r="P51" i="12"/>
  <c r="P91" i="12"/>
  <c r="P93" i="12" s="1"/>
  <c r="G259" i="8"/>
  <c r="D34" i="8"/>
  <c r="F34" i="8" s="1"/>
  <c r="F189" i="8"/>
  <c r="D39" i="8"/>
  <c r="F39" i="8" s="1"/>
  <c r="D87" i="8"/>
  <c r="F87" i="8" s="1"/>
  <c r="D43" i="8"/>
  <c r="F43" i="8" s="1"/>
  <c r="E29" i="8"/>
  <c r="D29" i="8" s="1"/>
  <c r="F29" i="8" s="1"/>
  <c r="E25" i="8"/>
  <c r="E27" i="8"/>
  <c r="D27" i="8" s="1"/>
  <c r="F27" i="8" s="1"/>
  <c r="G22" i="8" s="1"/>
  <c r="D6" i="8"/>
  <c r="F6" i="8" s="1"/>
  <c r="B128" i="7"/>
  <c r="D128" i="7" s="1"/>
  <c r="D211" i="8" s="1"/>
  <c r="F211" i="8" s="1"/>
  <c r="G209" i="8" s="1"/>
  <c r="E17" i="8"/>
  <c r="D18" i="8" s="1"/>
  <c r="F18" i="8" s="1"/>
  <c r="D45" i="8"/>
  <c r="F45" i="8" s="1"/>
  <c r="D36" i="8"/>
  <c r="F36" i="8" s="1"/>
  <c r="G166" i="8"/>
  <c r="P92" i="12"/>
  <c r="P74" i="12"/>
  <c r="P73" i="12"/>
  <c r="D242" i="8" s="1"/>
  <c r="P142" i="12"/>
  <c r="P52" i="12"/>
  <c r="P53" i="12"/>
  <c r="P114" i="12"/>
  <c r="P167" i="12"/>
  <c r="B127" i="7"/>
  <c r="D127" i="7" s="1"/>
  <c r="D197" i="8" s="1"/>
  <c r="F197" i="8" s="1"/>
  <c r="G189" i="8" s="1"/>
  <c r="G193" i="8" s="1"/>
  <c r="D122" i="7"/>
  <c r="D180" i="8" s="1"/>
  <c r="F180" i="8" s="1"/>
  <c r="D182" i="8"/>
  <c r="F182" i="8" s="1"/>
  <c r="F181" i="8"/>
  <c r="G138" i="8"/>
  <c r="G143" i="8" s="1"/>
  <c r="G89" i="8"/>
  <c r="G95" i="8" s="1"/>
  <c r="D50" i="8"/>
  <c r="D68" i="8"/>
  <c r="F68" i="8" s="1"/>
  <c r="E23" i="8"/>
  <c r="G79" i="8"/>
  <c r="G82" i="8" s="1"/>
  <c r="G146" i="8"/>
  <c r="G149" i="8" s="1"/>
  <c r="G31" i="8"/>
  <c r="G33" i="8" s="1"/>
  <c r="G167" i="8"/>
  <c r="G266" i="8"/>
  <c r="G269" i="8" s="1"/>
  <c r="G284" i="8"/>
  <c r="G288" i="8" s="1"/>
  <c r="G251" i="8"/>
  <c r="G256" i="8" s="1"/>
  <c r="G317" i="8"/>
  <c r="G142" i="8"/>
  <c r="G141" i="8"/>
  <c r="G140" i="8"/>
  <c r="G211" i="8"/>
  <c r="G213" i="8"/>
  <c r="G212" i="8"/>
  <c r="G214" i="8"/>
  <c r="G93" i="8"/>
  <c r="G94" i="8"/>
  <c r="G96" i="8"/>
  <c r="E153" i="8"/>
  <c r="D154" i="8" s="1"/>
  <c r="F154" i="8" s="1"/>
  <c r="G151" i="8" s="1"/>
  <c r="F151" i="8"/>
  <c r="G238" i="8"/>
  <c r="G240" i="8"/>
  <c r="G239" i="8"/>
  <c r="G241" i="8"/>
  <c r="G200" i="8"/>
  <c r="G70" i="8"/>
  <c r="G75" i="8" s="1"/>
  <c r="G115" i="8"/>
  <c r="G119" i="8" s="1"/>
  <c r="G174" i="8"/>
  <c r="F164" i="8"/>
  <c r="G165" i="8" s="1"/>
  <c r="G98" i="8"/>
  <c r="G104" i="8" s="1"/>
  <c r="G159" i="8"/>
  <c r="G126" i="8"/>
  <c r="G125" i="8"/>
  <c r="G128" i="8"/>
  <c r="G127" i="8"/>
  <c r="G59" i="8"/>
  <c r="G61" i="8"/>
  <c r="G60" i="8"/>
  <c r="G58" i="8"/>
  <c r="F227" i="8"/>
  <c r="G222" i="8" s="1"/>
  <c r="G226" i="8"/>
  <c r="G132" i="8"/>
  <c r="H132" i="8" s="1"/>
  <c r="G133" i="8"/>
  <c r="G134" i="8"/>
  <c r="G135" i="8"/>
  <c r="G176" i="8"/>
  <c r="G178" i="8"/>
  <c r="G177" i="8"/>
  <c r="G175" i="8"/>
  <c r="G14" i="8"/>
  <c r="G5" i="8"/>
  <c r="G34" i="8"/>
  <c r="G35" i="8"/>
  <c r="G38" i="8"/>
  <c r="G147" i="8"/>
  <c r="G150" i="8"/>
  <c r="G148" i="8"/>
  <c r="G107" i="8"/>
  <c r="G217" i="8"/>
  <c r="G219" i="8"/>
  <c r="G218" i="8"/>
  <c r="G220" i="8"/>
  <c r="D52" i="8"/>
  <c r="F52" i="8" s="1"/>
  <c r="G341" i="8"/>
  <c r="G346" i="8" s="1"/>
  <c r="G313" i="8"/>
  <c r="G316" i="8"/>
  <c r="G314" i="8"/>
  <c r="G315" i="8"/>
  <c r="G332" i="8"/>
  <c r="G268" i="8"/>
  <c r="G270" i="8"/>
  <c r="G291" i="8"/>
  <c r="G255" i="8"/>
  <c r="G254" i="8"/>
  <c r="G253" i="8"/>
  <c r="G275" i="8"/>
  <c r="G319" i="8"/>
  <c r="G322" i="8"/>
  <c r="G320" i="8"/>
  <c r="G321" i="8"/>
  <c r="G263" i="8"/>
  <c r="G261" i="8"/>
  <c r="G264" i="8"/>
  <c r="G262" i="8"/>
  <c r="G300" i="8"/>
  <c r="G323" i="8"/>
  <c r="G289" i="8"/>
  <c r="G286" i="8"/>
  <c r="P8" i="12"/>
  <c r="G271" i="8" l="1"/>
  <c r="G343" i="8"/>
  <c r="G287" i="8"/>
  <c r="G120" i="8"/>
  <c r="G179" i="8"/>
  <c r="G118" i="8"/>
  <c r="G74" i="8"/>
  <c r="G72" i="8"/>
  <c r="G73" i="8"/>
  <c r="D235" i="8"/>
  <c r="Q52" i="12"/>
  <c r="P168" i="12"/>
  <c r="P169" i="12"/>
  <c r="D234" i="8"/>
  <c r="E234" i="8" s="1"/>
  <c r="D34" i="4" s="1"/>
  <c r="P115" i="12"/>
  <c r="P116" i="12"/>
  <c r="D243" i="8"/>
  <c r="E242" i="8" s="1"/>
  <c r="D35" i="4" s="1"/>
  <c r="H140" i="8"/>
  <c r="D23" i="4" s="1"/>
  <c r="G102" i="8"/>
  <c r="G103" i="8"/>
  <c r="G101" i="8"/>
  <c r="G85" i="8"/>
  <c r="G84" i="8"/>
  <c r="H238" i="8"/>
  <c r="D36" i="4" s="1"/>
  <c r="G83" i="8"/>
  <c r="H82" i="8" s="1"/>
  <c r="D16" i="4" s="1"/>
  <c r="G36" i="8"/>
  <c r="H33" i="8" s="1"/>
  <c r="D10" i="4" s="1"/>
  <c r="H175" i="8"/>
  <c r="D26" i="4" s="1"/>
  <c r="H166" i="8"/>
  <c r="D25" i="4" s="1"/>
  <c r="G191" i="8"/>
  <c r="F50" i="8"/>
  <c r="G47" i="8" s="1"/>
  <c r="D66" i="8"/>
  <c r="F66" i="8" s="1"/>
  <c r="G64" i="8" s="1"/>
  <c r="G192" i="8"/>
  <c r="H72" i="8"/>
  <c r="D15" i="4" s="1"/>
  <c r="G117" i="8"/>
  <c r="H117" i="8" s="1"/>
  <c r="D20" i="4" s="1"/>
  <c r="G344" i="8"/>
  <c r="H218" i="8"/>
  <c r="D31" i="4" s="1"/>
  <c r="G194" i="8"/>
  <c r="H212" i="8"/>
  <c r="D30" i="4" s="1"/>
  <c r="H125" i="8"/>
  <c r="D21" i="4" s="1"/>
  <c r="G202" i="8"/>
  <c r="G205" i="8"/>
  <c r="G203" i="8"/>
  <c r="G204" i="8"/>
  <c r="H93" i="8"/>
  <c r="D17" i="4" s="1"/>
  <c r="G183" i="8"/>
  <c r="G181" i="8"/>
  <c r="G184" i="8"/>
  <c r="G182" i="8"/>
  <c r="G224" i="8"/>
  <c r="G223" i="8"/>
  <c r="G225" i="8"/>
  <c r="G112" i="8"/>
  <c r="G109" i="8"/>
  <c r="G111" i="8"/>
  <c r="G110" i="8"/>
  <c r="G156" i="8"/>
  <c r="G155" i="8"/>
  <c r="G154" i="8"/>
  <c r="G153" i="8"/>
  <c r="G18" i="8"/>
  <c r="G19" i="8"/>
  <c r="G16" i="8"/>
  <c r="G17" i="8"/>
  <c r="G161" i="8"/>
  <c r="G163" i="8"/>
  <c r="G160" i="8"/>
  <c r="G162" i="8"/>
  <c r="G25" i="8"/>
  <c r="G24" i="8"/>
  <c r="G27" i="8"/>
  <c r="G26" i="8"/>
  <c r="H147" i="8"/>
  <c r="D24" i="4" s="1"/>
  <c r="G10" i="8"/>
  <c r="G8" i="8"/>
  <c r="G9" i="8"/>
  <c r="G7" i="8"/>
  <c r="H58" i="8"/>
  <c r="D13" i="4" s="1"/>
  <c r="G42" i="8"/>
  <c r="G43" i="8"/>
  <c r="G40" i="8"/>
  <c r="G41" i="8"/>
  <c r="G345" i="8"/>
  <c r="H343" i="8" s="1"/>
  <c r="D50" i="4" s="1"/>
  <c r="H286" i="8"/>
  <c r="D43" i="4" s="1"/>
  <c r="G293" i="8"/>
  <c r="G294" i="8"/>
  <c r="G295" i="8"/>
  <c r="G296" i="8"/>
  <c r="G326" i="8"/>
  <c r="G328" i="8"/>
  <c r="G327" i="8"/>
  <c r="G325" i="8"/>
  <c r="H313" i="8"/>
  <c r="D46" i="4" s="1"/>
  <c r="G305" i="8"/>
  <c r="G303" i="8"/>
  <c r="G302" i="8"/>
  <c r="G304" i="8"/>
  <c r="H319" i="8"/>
  <c r="D47" i="4" s="1"/>
  <c r="G277" i="8"/>
  <c r="G278" i="8"/>
  <c r="G280" i="8"/>
  <c r="G279" i="8"/>
  <c r="H268" i="8"/>
  <c r="D41" i="4" s="1"/>
  <c r="H261" i="8"/>
  <c r="D40" i="4" s="1"/>
  <c r="H253" i="8"/>
  <c r="D39" i="4" s="1"/>
  <c r="G336" i="8"/>
  <c r="G335" i="8"/>
  <c r="G337" i="8"/>
  <c r="G334" i="8"/>
  <c r="D245" i="8" l="1"/>
  <c r="E245" i="8" s="1"/>
  <c r="D37" i="4" s="1"/>
  <c r="D249" i="8"/>
  <c r="E248" i="8" s="1"/>
  <c r="D38" i="4" s="1"/>
  <c r="H101" i="8"/>
  <c r="D18" i="4" s="1"/>
  <c r="H191" i="8"/>
  <c r="D28" i="4" s="1"/>
  <c r="G52" i="8"/>
  <c r="G50" i="8"/>
  <c r="G51" i="8"/>
  <c r="G49" i="8"/>
  <c r="H49" i="8" s="1"/>
  <c r="D12" i="4" s="1"/>
  <c r="G65" i="8"/>
  <c r="G67" i="8"/>
  <c r="G68" i="8"/>
  <c r="G66" i="8"/>
  <c r="H277" i="8"/>
  <c r="D42" i="4" s="1"/>
  <c r="H223" i="8"/>
  <c r="D32" i="4" s="1"/>
  <c r="H181" i="8"/>
  <c r="D27" i="4" s="1"/>
  <c r="H202" i="8"/>
  <c r="D29" i="4" s="1"/>
  <c r="H153" i="8"/>
  <c r="D5" i="4" s="1"/>
  <c r="H40" i="8"/>
  <c r="D11" i="4" s="1"/>
  <c r="H160" i="8"/>
  <c r="D6" i="4" s="1"/>
  <c r="H16" i="8"/>
  <c r="D8" i="4" s="1"/>
  <c r="H24" i="8"/>
  <c r="D9" i="4" s="1"/>
  <c r="H7" i="8"/>
  <c r="D7" i="4" s="1"/>
  <c r="H109" i="8"/>
  <c r="D19" i="4" s="1"/>
  <c r="H302" i="8"/>
  <c r="D45" i="4" s="1"/>
  <c r="H334" i="8"/>
  <c r="D49" i="4" s="1"/>
  <c r="H293" i="8"/>
  <c r="D44" i="4" s="1"/>
  <c r="H325" i="8"/>
  <c r="D48" i="4" s="1"/>
  <c r="H64" i="8" l="1"/>
  <c r="D14" i="4" s="1"/>
</calcChain>
</file>

<file path=xl/sharedStrings.xml><?xml version="1.0" encoding="utf-8"?>
<sst xmlns="http://schemas.openxmlformats.org/spreadsheetml/2006/main" count="1824" uniqueCount="908">
  <si>
    <t>Register</t>
  </si>
  <si>
    <t>Offset</t>
  </si>
  <si>
    <t>Description</t>
  </si>
  <si>
    <t>0x64</t>
  </si>
  <si>
    <t>Refresh Timing Register</t>
  </si>
  <si>
    <t>0x68</t>
  </si>
  <si>
    <t>Refresh Timing Register1</t>
  </si>
  <si>
    <t>0x100</t>
  </si>
  <si>
    <t>SDRAM Timing Register 0</t>
  </si>
  <si>
    <t>0x104</t>
  </si>
  <si>
    <t>SDRAM Timing Register 1</t>
  </si>
  <si>
    <t>0x108</t>
  </si>
  <si>
    <t>SDRAM Timing Register 2</t>
  </si>
  <si>
    <t>0x10c</t>
  </si>
  <si>
    <t>SDRAM Timing Register 3</t>
  </si>
  <si>
    <t>0x110</t>
  </si>
  <si>
    <t>SDRAM Timing Register 4</t>
  </si>
  <si>
    <t>0x114</t>
  </si>
  <si>
    <t>SDRAM Timing Register 5</t>
  </si>
  <si>
    <t>0x118</t>
  </si>
  <si>
    <t>SDRAM Timing Register 6</t>
  </si>
  <si>
    <t>0x11c</t>
  </si>
  <si>
    <t>SDRAM Timing Register 7</t>
  </si>
  <si>
    <t>0x120</t>
  </si>
  <si>
    <t>SDRAM Timing Register 8</t>
  </si>
  <si>
    <t>0x124</t>
  </si>
  <si>
    <t>SDRAM Timing Register 9</t>
  </si>
  <si>
    <t>0x128</t>
  </si>
  <si>
    <t>SDRAM Timing Register 10</t>
  </si>
  <si>
    <t>0x12c</t>
  </si>
  <si>
    <t>SDRAM Timing Register 11</t>
  </si>
  <si>
    <t>0x130</t>
  </si>
  <si>
    <t>SDRAM Timing Register 12</t>
  </si>
  <si>
    <t>0x134</t>
  </si>
  <si>
    <t>SDRAM Timing Register 13</t>
  </si>
  <si>
    <t>0x138</t>
  </si>
  <si>
    <t>SDRAM Timing Register 14</t>
  </si>
  <si>
    <t>0x13c</t>
  </si>
  <si>
    <t>SDRAM Timing Register 15</t>
  </si>
  <si>
    <t>0x140</t>
  </si>
  <si>
    <t>SDRAM Timing Register 16</t>
  </si>
  <si>
    <t>0x144</t>
  </si>
  <si>
    <t>SDRAM Timing Register 17</t>
  </si>
  <si>
    <t>0x180</t>
  </si>
  <si>
    <t>ZQ Control Register 0</t>
  </si>
  <si>
    <t>0x184</t>
  </si>
  <si>
    <t>ZQ Control Register 1</t>
  </si>
  <si>
    <t>0x190</t>
  </si>
  <si>
    <t>DFI Timing Register 0</t>
  </si>
  <si>
    <t>0x194</t>
  </si>
  <si>
    <t>DFI Timing Register 1</t>
  </si>
  <si>
    <t>0x1a0</t>
  </si>
  <si>
    <t>DFI Update Register 0</t>
  </si>
  <si>
    <t>0x1b4</t>
  </si>
  <si>
    <t>DFI Timing Register 2</t>
  </si>
  <si>
    <t>0x1b8</t>
  </si>
  <si>
    <t>DFI Timing Register 3</t>
  </si>
  <si>
    <t>RFSHTMG</t>
  </si>
  <si>
    <t>RFSHTMG1</t>
  </si>
  <si>
    <t>DRAMTMG0</t>
  </si>
  <si>
    <t>DRAMTMG1</t>
  </si>
  <si>
    <t>DRAMTMG2</t>
  </si>
  <si>
    <t>DRAMTMG3</t>
  </si>
  <si>
    <t>DRAMTMG4</t>
  </si>
  <si>
    <t>DRAMTMG5</t>
  </si>
  <si>
    <t>DRAMTMG6</t>
  </si>
  <si>
    <t>DRAMTMG7</t>
  </si>
  <si>
    <t>DRAMTMG8</t>
  </si>
  <si>
    <t>DRAMTMG9</t>
  </si>
  <si>
    <t>DRAMTMG10</t>
  </si>
  <si>
    <t>DRAMTMG11</t>
  </si>
  <si>
    <t>DRAMTMG12</t>
  </si>
  <si>
    <t>DRAMTMG13</t>
  </si>
  <si>
    <t>DRAMTMG14</t>
  </si>
  <si>
    <t>DRAMTMG15</t>
  </si>
  <si>
    <t>DRAMTMG16</t>
  </si>
  <si>
    <t>DRAMTMG17</t>
  </si>
  <si>
    <t>ZQCTL0</t>
  </si>
  <si>
    <t>ZQCTL1</t>
  </si>
  <si>
    <t>DFITMG0</t>
  </si>
  <si>
    <t>DFITMG1</t>
  </si>
  <si>
    <t>DFIUPD0</t>
  </si>
  <si>
    <t>DFITMG2</t>
  </si>
  <si>
    <t>DFITMG3</t>
  </si>
  <si>
    <t>Value</t>
  </si>
  <si>
    <t>t_rfc_nom_x1_x32</t>
  </si>
  <si>
    <t>tREFI</t>
  </si>
  <si>
    <t>Frequency Ratio</t>
  </si>
  <si>
    <t>Unit</t>
  </si>
  <si>
    <t>ns</t>
  </si>
  <si>
    <t>tPBR2PBR</t>
  </si>
  <si>
    <t>tWR</t>
  </si>
  <si>
    <t>tRAS(max)</t>
  </si>
  <si>
    <t>tRAS(min)</t>
  </si>
  <si>
    <t>tXP</t>
  </si>
  <si>
    <t>tRTP</t>
  </si>
  <si>
    <t>tRC</t>
  </si>
  <si>
    <t>tCKELPD</t>
  </si>
  <si>
    <t>tMRW</t>
  </si>
  <si>
    <t>tMRD</t>
  </si>
  <si>
    <t>tMRWCKEL</t>
  </si>
  <si>
    <t>tRCD</t>
  </si>
  <si>
    <t>tRPpb</t>
  </si>
  <si>
    <t>tRPab</t>
  </si>
  <si>
    <t>DFI Clk</t>
  </si>
  <si>
    <t>RL</t>
  </si>
  <si>
    <t>WL</t>
  </si>
  <si>
    <t>BL</t>
  </si>
  <si>
    <t>AL</t>
  </si>
  <si>
    <t>PL</t>
  </si>
  <si>
    <t>tctrl_delay</t>
  </si>
  <si>
    <t>trddata_en</t>
  </si>
  <si>
    <t>tphy_wrdata</t>
  </si>
  <si>
    <t>tphy_wrlat</t>
  </si>
  <si>
    <t>tphy_wrdata_delay</t>
  </si>
  <si>
    <t>tdram_clk_disable</t>
  </si>
  <si>
    <t>tctrlupd_max</t>
  </si>
  <si>
    <t>DfiCtlClk</t>
  </si>
  <si>
    <t>tctrlupd_min</t>
  </si>
  <si>
    <t>tphy_rdcslat</t>
  </si>
  <si>
    <t>tphy_wrcslat</t>
  </si>
  <si>
    <t>ARdPtrinitVal[3:0]</t>
  </si>
  <si>
    <t>MISC</t>
  </si>
  <si>
    <t>RD</t>
  </si>
  <si>
    <t>RCD_nladd</t>
  </si>
  <si>
    <t>WR</t>
  </si>
  <si>
    <t>Trained_TxDqsDly</t>
  </si>
  <si>
    <t>Fields</t>
  </si>
  <si>
    <t>Bits</t>
  </si>
  <si>
    <t>RSVD</t>
  </si>
  <si>
    <t>31::24</t>
  </si>
  <si>
    <t>23::16</t>
  </si>
  <si>
    <t>15::8</t>
  </si>
  <si>
    <t>7::5</t>
  </si>
  <si>
    <t>4::0</t>
  </si>
  <si>
    <t>per_bank_refresh</t>
  </si>
  <si>
    <t>1::0</t>
  </si>
  <si>
    <t>31::30</t>
  </si>
  <si>
    <t>25::16</t>
  </si>
  <si>
    <t>11::0</t>
  </si>
  <si>
    <t>15::12</t>
  </si>
  <si>
    <t>31::28</t>
  </si>
  <si>
    <t>t_cksrx</t>
  </si>
  <si>
    <t>27::24</t>
  </si>
  <si>
    <t>23::20</t>
  </si>
  <si>
    <t>t_cksre</t>
  </si>
  <si>
    <t>tCKELCK</t>
  </si>
  <si>
    <t>15::4</t>
  </si>
  <si>
    <t>t_ckesr</t>
  </si>
  <si>
    <t>13::8</t>
  </si>
  <si>
    <t>tSR</t>
  </si>
  <si>
    <t>tCKE</t>
  </si>
  <si>
    <t>t_cke</t>
  </si>
  <si>
    <t>t_ckdpde</t>
  </si>
  <si>
    <t>Only for mDDR or
LPDDR2/LPDDR3</t>
  </si>
  <si>
    <t>t_ckdpdx</t>
  </si>
  <si>
    <t>19::16</t>
  </si>
  <si>
    <t>t_ckcsx</t>
  </si>
  <si>
    <t>3::0</t>
  </si>
  <si>
    <t>31::12</t>
  </si>
  <si>
    <t>11::8</t>
  </si>
  <si>
    <t>t_ckpde</t>
  </si>
  <si>
    <t>7::4</t>
  </si>
  <si>
    <t>t_ckpdx</t>
  </si>
  <si>
    <t>Only for DDR4</t>
  </si>
  <si>
    <t>29::24</t>
  </si>
  <si>
    <t>t_wr_mpr</t>
  </si>
  <si>
    <t>23::18</t>
  </si>
  <si>
    <t>17::16</t>
  </si>
  <si>
    <t>t_cmdcke</t>
  </si>
  <si>
    <t>tESCKE</t>
  </si>
  <si>
    <t>tCMDCKE</t>
  </si>
  <si>
    <t>15::5</t>
  </si>
  <si>
    <t>t_mrd_pda</t>
  </si>
  <si>
    <t>30::24</t>
  </si>
  <si>
    <t>odtloff</t>
  </si>
  <si>
    <t>ODTLoff</t>
  </si>
  <si>
    <t>23::22</t>
  </si>
  <si>
    <t>21::16</t>
  </si>
  <si>
    <t>t_ccd_mw</t>
  </si>
  <si>
    <t>15::3</t>
  </si>
  <si>
    <t>t_ppd</t>
  </si>
  <si>
    <t>2::0</t>
  </si>
  <si>
    <t>tPPD</t>
  </si>
  <si>
    <t>Only for DDR4-3DS</t>
  </si>
  <si>
    <t>t_vrcg_enable</t>
  </si>
  <si>
    <t>tVRCG_ENABLE</t>
  </si>
  <si>
    <t>15::7</t>
  </si>
  <si>
    <t>6::0</t>
  </si>
  <si>
    <t>t_vrcg_disable</t>
  </si>
  <si>
    <t>tVRCG_DISABLE</t>
  </si>
  <si>
    <t>wr2pre</t>
  </si>
  <si>
    <t>t_faw</t>
  </si>
  <si>
    <t>tFAW</t>
  </si>
  <si>
    <t>14::8</t>
  </si>
  <si>
    <t>t_ras_max</t>
  </si>
  <si>
    <t>7::6</t>
  </si>
  <si>
    <t>5::0</t>
  </si>
  <si>
    <t>t_ras_min</t>
  </si>
  <si>
    <t>31::21</t>
  </si>
  <si>
    <t>20::16</t>
  </si>
  <si>
    <t>t_xp</t>
  </si>
  <si>
    <t>15::14</t>
  </si>
  <si>
    <t>rd2pre</t>
  </si>
  <si>
    <t>t_rc</t>
  </si>
  <si>
    <t>write_latency</t>
  </si>
  <si>
    <t>read_latency</t>
  </si>
  <si>
    <t>rd2wr</t>
  </si>
  <si>
    <t>tDQSCK(max)</t>
  </si>
  <si>
    <t>RD_POSTAMBLE</t>
  </si>
  <si>
    <t>WR_PREAMBLE</t>
  </si>
  <si>
    <t>To be filled by customer</t>
  </si>
  <si>
    <t>ODTLon</t>
  </si>
  <si>
    <t>DQ_ODT</t>
  </si>
  <si>
    <t>Enabled ODT</t>
  </si>
  <si>
    <t>wr2rd</t>
  </si>
  <si>
    <t>29::20</t>
  </si>
  <si>
    <t>t_mrw</t>
  </si>
  <si>
    <t>19::18</t>
  </si>
  <si>
    <t>17::12</t>
  </si>
  <si>
    <t>t_mrd</t>
  </si>
  <si>
    <t>11::10</t>
  </si>
  <si>
    <t>9::0</t>
  </si>
  <si>
    <t>t_mod</t>
  </si>
  <si>
    <t>Only for DDR3 and DDR4</t>
  </si>
  <si>
    <t>31::29</t>
  </si>
  <si>
    <t>28::24</t>
  </si>
  <si>
    <t>t_rcd</t>
  </si>
  <si>
    <t>t_ccd</t>
  </si>
  <si>
    <t>t_rrd</t>
  </si>
  <si>
    <t>t_rp</t>
  </si>
  <si>
    <t>27::16</t>
  </si>
  <si>
    <t>3::2</t>
  </si>
  <si>
    <t>t_rfc_nom_x1_sel</t>
  </si>
  <si>
    <t>30::28</t>
  </si>
  <si>
    <t>lpddr3_trefbw_en</t>
  </si>
  <si>
    <t>14::10</t>
  </si>
  <si>
    <t>t_rfc_min</t>
  </si>
  <si>
    <t>dis_auto_zq</t>
  </si>
  <si>
    <t>26::16</t>
  </si>
  <si>
    <t>15::10</t>
  </si>
  <si>
    <t>dis_srx_zqcl</t>
  </si>
  <si>
    <t>zq_resistor_shared</t>
  </si>
  <si>
    <t>dis_mpsmx_zqcl</t>
  </si>
  <si>
    <t>t_zq_long_nop</t>
  </si>
  <si>
    <t>Values 1 or 0 to be updated by customer</t>
  </si>
  <si>
    <t>t_zq_short_nop</t>
  </si>
  <si>
    <t>19::0</t>
  </si>
  <si>
    <t>t_zq_reset_nop</t>
  </si>
  <si>
    <t>tZQReset</t>
  </si>
  <si>
    <t>t_zq_short_interval_x1024</t>
  </si>
  <si>
    <t>To be updated by customer to determine x1 or x32 register values to be used</t>
  </si>
  <si>
    <t>tREFIpb</t>
  </si>
  <si>
    <t>Only for LPDDR3</t>
  </si>
  <si>
    <t>tRFCab</t>
  </si>
  <si>
    <t>tRFCpb</t>
  </si>
  <si>
    <t>t_pbr2pbr</t>
  </si>
  <si>
    <t>7::0</t>
  </si>
  <si>
    <t>t_rfc_min_dlr</t>
  </si>
  <si>
    <t>dfi_t_ctrl_delay</t>
  </si>
  <si>
    <t>dfi_t_rddata_en</t>
  </si>
  <si>
    <t>dfi_tphy_wrdata</t>
  </si>
  <si>
    <t>dfi_tphy_wrlat</t>
  </si>
  <si>
    <t>dfi_rddata_use_dfi_phy_clk</t>
  </si>
  <si>
    <t>dfi_wrdata_use_dfi_phy_clk</t>
  </si>
  <si>
    <t>dfi_t_wrdata_delay</t>
  </si>
  <si>
    <t>dfi_t_dram_clk_disable</t>
  </si>
  <si>
    <t>dfi_t_dram_clk_enable</t>
  </si>
  <si>
    <t>22::16</t>
  </si>
  <si>
    <t>dfi_t_cmd_lat</t>
  </si>
  <si>
    <t>27::26</t>
  </si>
  <si>
    <t>dfi_t_parin_lat</t>
  </si>
  <si>
    <t>25::24</t>
  </si>
  <si>
    <t>23::21</t>
  </si>
  <si>
    <t>12::8</t>
  </si>
  <si>
    <t>15::13</t>
  </si>
  <si>
    <t>tdram_clk_enable</t>
  </si>
  <si>
    <t>28::26</t>
  </si>
  <si>
    <t>dis_auto_ctrlupd</t>
  </si>
  <si>
    <t>dis_auto_ctrlupd_srx</t>
  </si>
  <si>
    <t>ctrlupd_pre_srx</t>
  </si>
  <si>
    <t>dfi_t_ctrlup_max</t>
  </si>
  <si>
    <t>dfi_t_ctrlup_min</t>
  </si>
  <si>
    <t>31::15</t>
  </si>
  <si>
    <t>dfi_tphy_rdcslat</t>
  </si>
  <si>
    <t>dfi_tphy_wrcslat</t>
  </si>
  <si>
    <t>Notes</t>
  </si>
  <si>
    <t>DRAM Clk (tCK)</t>
  </si>
  <si>
    <t>Disabled ODT</t>
  </si>
  <si>
    <t>Binary</t>
  </si>
  <si>
    <t>To include one 0</t>
  </si>
  <si>
    <t>HEX</t>
  </si>
  <si>
    <t>To include two 0</t>
  </si>
  <si>
    <t>To include nine 0</t>
  </si>
  <si>
    <t>To include seven 0</t>
  </si>
  <si>
    <t>UMCTL2_HWFFC_EN</t>
  </si>
  <si>
    <t>t_xsr</t>
  </si>
  <si>
    <t>tXSR</t>
  </si>
  <si>
    <t>To include ten 0</t>
  </si>
  <si>
    <t>tCK</t>
  </si>
  <si>
    <t>Values from JEDEC spec</t>
  </si>
  <si>
    <t>tRFC_dl</t>
  </si>
  <si>
    <t>Only for DDR4_3DS. For others put 0.</t>
  </si>
  <si>
    <t>Only for LPDDR4. For DDR4 put 0.</t>
  </si>
  <si>
    <t>tCAL</t>
  </si>
  <si>
    <t>Only for DDR4. For LPDDR4 put 0.</t>
  </si>
  <si>
    <t>DDR4 or LPDDR4</t>
  </si>
  <si>
    <t>tRP</t>
  </si>
  <si>
    <t>CWL</t>
  </si>
  <si>
    <t>tWTR_L</t>
  </si>
  <si>
    <t>tWTR</t>
  </si>
  <si>
    <t>tMOD</t>
  </si>
  <si>
    <t>t_xs_fast_x32</t>
  </si>
  <si>
    <t>t_xs_abort_x32</t>
  </si>
  <si>
    <t>t_xs_dll_x32</t>
  </si>
  <si>
    <t>t_xs_x32</t>
  </si>
  <si>
    <t>tXS_FAST</t>
  </si>
  <si>
    <t>tXS_ABORT</t>
  </si>
  <si>
    <t>tXSDLL</t>
  </si>
  <si>
    <t>tXS</t>
  </si>
  <si>
    <t>29::19</t>
  </si>
  <si>
    <t>18::16</t>
  </si>
  <si>
    <t>ddr4_wr_preamble</t>
  </si>
  <si>
    <t>t_ccd_s</t>
  </si>
  <si>
    <t>t_rrd_s</t>
  </si>
  <si>
    <t>wr2rd_s</t>
  </si>
  <si>
    <t>tCCD_S</t>
  </si>
  <si>
    <t>tRRD_S</t>
  </si>
  <si>
    <t>tWTR_S</t>
  </si>
  <si>
    <t>t_sync_gear</t>
  </si>
  <si>
    <t>t_cmd_gear</t>
  </si>
  <si>
    <t>t_gear_setup</t>
  </si>
  <si>
    <t>t_gear_hold</t>
  </si>
  <si>
    <t>tSYNC_GEAR</t>
  </si>
  <si>
    <t>tCMD_GEAR</t>
  </si>
  <si>
    <t>tGEAR_setup</t>
  </si>
  <si>
    <t>tGEAR_hold</t>
  </si>
  <si>
    <t>9::8</t>
  </si>
  <si>
    <t>post_mpsm_gap_x32</t>
  </si>
  <si>
    <t>t_mpx_lh</t>
  </si>
  <si>
    <t>t_mpx_s</t>
  </si>
  <si>
    <t>t_ckmpe</t>
  </si>
  <si>
    <t>tXMPDLL</t>
  </si>
  <si>
    <t>tMPX_LH</t>
  </si>
  <si>
    <t>tMPX_S</t>
  </si>
  <si>
    <t>tCKMPE</t>
  </si>
  <si>
    <t>tWR_MPR</t>
  </si>
  <si>
    <t>tMRD_PDA</t>
  </si>
  <si>
    <t>tCCDMW</t>
  </si>
  <si>
    <t>en_dfi_lp_t_stab</t>
  </si>
  <si>
    <t>30::25</t>
  </si>
  <si>
    <t>en_hwffc_t_stab</t>
  </si>
  <si>
    <t>23::8</t>
  </si>
  <si>
    <t>t_stab_x32</t>
  </si>
  <si>
    <t>tRP_CA_Parity</t>
  </si>
  <si>
    <t>t_faw_dlr</t>
  </si>
  <si>
    <t>t_rrd_dlr</t>
  </si>
  <si>
    <t>t_ccd_dlr</t>
  </si>
  <si>
    <t>15::11</t>
  </si>
  <si>
    <t>10::8</t>
  </si>
  <si>
    <t>7::3</t>
  </si>
  <si>
    <t>t_rp_ca_parity</t>
  </si>
  <si>
    <t>31::5</t>
  </si>
  <si>
    <t>dfi_t_geardown_delay</t>
  </si>
  <si>
    <t>tgeardown_delay</t>
  </si>
  <si>
    <t>If C/A parity for DDR4 is used, set to (tMOD+PL) instead.</t>
  </si>
  <si>
    <t>0 for LPDDR4</t>
  </si>
  <si>
    <t>PHY Parameter</t>
  </si>
  <si>
    <t>Values from PUB databook</t>
  </si>
  <si>
    <t>tCKSRX or tCKCKEH</t>
  </si>
  <si>
    <t>For DDR4 its tCKSRX and for LPDDR4 its tCKCKEH</t>
  </si>
  <si>
    <t>CRCPARCTL1.caparity_disable_before_sr</t>
  </si>
  <si>
    <t>For LPDDR4 its tCKELCK. For DDR4 its Max (10 ns, 5 tCK)</t>
  </si>
  <si>
    <t>Only for DDR4. WTR_S must be increased by one if DDR4 2tCK write preamble is used. For LPDDR4 put 0.</t>
  </si>
  <si>
    <t>In SDRAM clock cycle</t>
  </si>
  <si>
    <t>Only for LPDDR4</t>
  </si>
  <si>
    <t>Only for DDR4-3DS. For others put 0</t>
  </si>
  <si>
    <t>IF UMCTL2_HWFFC_EN==1. Only for LPDDR4</t>
  </si>
  <si>
    <t>tRFC</t>
  </si>
  <si>
    <t>tZQoper</t>
  </si>
  <si>
    <t>tZQCAL</t>
  </si>
  <si>
    <t>In JEDEC spec this parameter is in us. Convert it into ns and put the value</t>
  </si>
  <si>
    <t>Only for LPDDR4. In Jedec spec this value is in us. Convert it to ns and put the value. For DDR4 put 0.</t>
  </si>
  <si>
    <t>tZQLAT</t>
  </si>
  <si>
    <t>tZQCS</t>
  </si>
  <si>
    <t>0 - HWFFC Disabled, 1 - HWFFC Enabled</t>
  </si>
  <si>
    <t>0 - ODT Disabled, 1 - ODT Enabled</t>
  </si>
  <si>
    <t>0 - DDR4, 1 - LPDDR4</t>
  </si>
  <si>
    <t>If using a Synopsys DWC DDR3/2 PHY, DWC DDR2/3-Lite/mDDR PHY, DWC DDR multiPHY or DWC Gen2 DDR multiPHY, this field must be set to 0; otherwise:
■ If MEMC_PROG_FREQ_RATIO=1 and MSTR.frequency_ratio=1, this field must be set to 0
■ Else, it must be set to 1</t>
  </si>
  <si>
    <t>Only for DDR4.If C/A parity for DDR4 is used, set to (tMOD+PL) instead.  For LPDDR4 put 0.</t>
  </si>
  <si>
    <t>DRAM Parameter</t>
  </si>
  <si>
    <t>Configuration Parameter</t>
  </si>
  <si>
    <t>Only for DDR4.For bank switching (from bank "a" to bank "b"), the minimum time is this value + 1. For LPDDR4 put 0.</t>
  </si>
  <si>
    <t>1 - Disable, 0 - Enable</t>
  </si>
  <si>
    <t>1 - ZQ register is shared, 0 - ZQ register is not shared.</t>
  </si>
  <si>
    <t>Only for LPDDR4. 0 - x32 register values, 1 - x1 register values. For DDR4 put 0</t>
  </si>
  <si>
    <t xml:space="preserve"> Only for DDR4. 0 - 1tCK preamble, 1 - 2tCK preamble. For LPDDR4 put 0</t>
  </si>
  <si>
    <t>tparin_lat</t>
  </si>
  <si>
    <t>tFAW_dlr</t>
  </si>
  <si>
    <t>tRRD_dlr</t>
  </si>
  <si>
    <t>tCCD_dlr</t>
  </si>
  <si>
    <t>Below values should be sourced from PUB databook.</t>
  </si>
  <si>
    <t>Edit only highlighted cells</t>
  </si>
  <si>
    <t>Only 1:2 frequency ratio.</t>
  </si>
  <si>
    <t>FIXED</t>
  </si>
  <si>
    <t>Register Value in Hex</t>
  </si>
  <si>
    <t>Boolean</t>
  </si>
  <si>
    <t>Value from JEDEC spec</t>
  </si>
  <si>
    <t xml:space="preserve">Only for LPDDR4. </t>
  </si>
  <si>
    <t>Only for DDR4.</t>
  </si>
  <si>
    <t>Only for DDR4. For LPDDR4 put 0
0 - CA parity is not disabled before self-refresh entry
1 - CA parity is disabled before self-refresh entry</t>
  </si>
  <si>
    <t>tODTon(min)</t>
  </si>
  <si>
    <t>Only for LPDDR4. If the spec has this parameter, put the value. Else put 0. For DDR4 put 0.</t>
  </si>
  <si>
    <t>0 in terms of HDR (DFI clock) cycles
1 in terms of SDR (DFI PHY clock) cycles</t>
  </si>
  <si>
    <t>0 - Send ctrlupd after SRX
1 - Send ctrlupd before SRX If DFIUPD0.dis_auto_ctrlupd_
srx=1, this register has no impact, because no dfi_ctrlupd_
req is issued when SRX.</t>
  </si>
  <si>
    <t>1 - disable the automatic dfi_ctrlupd_req generation by
the uMCTL2 at self-refresh exit.
0 - uMCTL2 issues a dfi_ctrlupd_req before or after
exiting self-refresh, depending on DFIUPD0.ctrlupd_pre_srx.</t>
  </si>
  <si>
    <t>Multiples of 1024 DFI clock cycles.</t>
  </si>
  <si>
    <t>In LPDDR4 JEDEC spec, this parameter is in us. Convert it into ns and put the value. In DDR4 JEDEC spec this parameter is in ns.</t>
  </si>
  <si>
    <t>For LPDDR4 set to tXP. If C/A parity for DDR4 is used, set to (tXP+PL) instead.</t>
  </si>
  <si>
    <t>Valid only when 8 or more banks(or banks x bank groups) are present. In a 4-bank design, set this register to 0x1 independent of the
1:1/1:2 frequency mode.</t>
  </si>
  <si>
    <t>tDQSSnom</t>
  </si>
  <si>
    <t>Value from PUB databook.</t>
  </si>
  <si>
    <t>tCCD</t>
  </si>
  <si>
    <t>tRRD</t>
  </si>
  <si>
    <t>tCCD_L</t>
  </si>
  <si>
    <t>tRRD_L</t>
  </si>
  <si>
    <t>Only for DDR4(in dfi phy clock cycles)</t>
  </si>
  <si>
    <t>Only for DDR3 and DDR4 (in dfi phy clock cycles)</t>
  </si>
  <si>
    <t>(in dfi phy clock cycles)</t>
  </si>
  <si>
    <t>Only for DDR4. tWTR_L must be increased by one if DDR4 2tCK write preamble is used.For LPDDR4 put 0.</t>
  </si>
  <si>
    <t>Only for DDR4. If MEMC_CMD_RTN2IDLE==1, put 0. For LPDDR4 put 0.</t>
  </si>
  <si>
    <t>Value from SDRAM datasheet</t>
  </si>
  <si>
    <t>Burst Length.</t>
  </si>
  <si>
    <t>DIMM is not supported</t>
  </si>
  <si>
    <t>Supports only DDR4, LPDDR4 and DDR4-3DS</t>
  </si>
  <si>
    <t xml:space="preserve">Do not distribute internally or externally </t>
  </si>
  <si>
    <t>Refer databook for more information on the value of this register</t>
  </si>
  <si>
    <t>The calculations and values in this spreadsheet havenot been verified</t>
  </si>
  <si>
    <t>Usage</t>
  </si>
  <si>
    <t>Information</t>
  </si>
  <si>
    <t>In case of discrepancy, the databook or JEDEC should be considered</t>
  </si>
  <si>
    <t>DWC_ddr_umctl2 v3.70a</t>
  </si>
  <si>
    <t>Revision History</t>
  </si>
  <si>
    <t>Initial. LPDDR4 support only</t>
  </si>
  <si>
    <t>1st Apr 2019</t>
  </si>
  <si>
    <t>Added DDR4 support</t>
  </si>
  <si>
    <t>12th Apr 2019</t>
  </si>
  <si>
    <t>Final clean up. Added usage.</t>
  </si>
  <si>
    <t>Added DDR4-3DS support</t>
  </si>
  <si>
    <t>Clean up of Parameters sheet.</t>
  </si>
  <si>
    <t>8th Apr 2019</t>
  </si>
  <si>
    <t>5th Apr 2019</t>
  </si>
  <si>
    <t>9th Apr 2019</t>
  </si>
  <si>
    <t>Initial review. Added notes for usability</t>
  </si>
  <si>
    <t>24th Mar 2019</t>
  </si>
  <si>
    <t>DISCLAIMER</t>
  </si>
  <si>
    <t>1:2</t>
  </si>
  <si>
    <t>1) Go to 'Parameters' sheet and update the value in the highlighted cells</t>
  </si>
  <si>
    <t>Only for DDR4.Multiples of 32 DFI clock cycles</t>
  </si>
  <si>
    <t>Only for DDR4.For DDR4-2666 and DDR4-3200, this parameter is defined as tMOD(min)+4tCK. If MEMC_CMD_RTN2IDLE==1, put 0. For LPDDR4 put 0.</t>
  </si>
  <si>
    <t>Only for DDR4. For DDR4-2666 and DDR4-3200, this parameter is defined as tMOD(min). If MEMC_CMD_RTN2IDLE==1, put 0. For LPDDR4 put 0.</t>
  </si>
  <si>
    <t>Only for DDR4.Minimum value of this register is 1. Zero is invalid. For DDR4-2666 and DDR4-3200, this parameter is defined as 2 clks. If MEMC_CMD_RTN2IDLE==1, put 0. For LPDDR4 put 0.</t>
  </si>
  <si>
    <t>Only for DDR4. Set this to tMOD + AL (or tMOD + PL + AL if C/A parity is also
used). For LPDDR4 put 0.</t>
  </si>
  <si>
    <t>Only for DDR4 RDIMM</t>
  </si>
  <si>
    <t>Only for DDR4-3DS and UMCTL2_CRC_PARITY_RETRY==1. For others put 0</t>
  </si>
  <si>
    <t>UMCTL2_REGS for:</t>
  </si>
  <si>
    <t>Only for LPDDR4. For DDR4 put 0.
0 - all bank refresh, 1 - per bank refresh</t>
  </si>
  <si>
    <t xml:space="preserve">         uMCTL2 3.70a DDRC Registers</t>
  </si>
  <si>
    <t>2nd May 2019</t>
  </si>
  <si>
    <t xml:space="preserve"> tRPpb is used for LPDDR4</t>
  </si>
  <si>
    <t>Correction in registers DRAMTMG2, DRAMTMG3 and DRAMTMG4</t>
  </si>
  <si>
    <t>INIT0</t>
  </si>
  <si>
    <t>skip_dram_init</t>
  </si>
  <si>
    <t>Rsvd</t>
  </si>
  <si>
    <t>post_cke_x1024</t>
  </si>
  <si>
    <t>pre_cke_x1024</t>
  </si>
  <si>
    <t>For INIT registers</t>
  </si>
  <si>
    <t>29::28</t>
  </si>
  <si>
    <t>0xd0</t>
  </si>
  <si>
    <t>SDRAM Initialization Register</t>
  </si>
  <si>
    <t>INIT1</t>
  </si>
  <si>
    <t>0xd4</t>
  </si>
  <si>
    <t>dram_rstn_x1024</t>
  </si>
  <si>
    <t>pre_ocd_x32</t>
  </si>
  <si>
    <t>31::25</t>
  </si>
  <si>
    <t>24::16</t>
  </si>
  <si>
    <t>31::16</t>
  </si>
  <si>
    <t>Only for LPDDR2</t>
  </si>
  <si>
    <t>INIT3</t>
  </si>
  <si>
    <t>0xdc</t>
  </si>
  <si>
    <t>15::0</t>
  </si>
  <si>
    <t>mr</t>
  </si>
  <si>
    <t>emr</t>
  </si>
  <si>
    <t>MR1</t>
  </si>
  <si>
    <t>WR-PRE</t>
  </si>
  <si>
    <t>RD-PRE</t>
  </si>
  <si>
    <t>nWR</t>
  </si>
  <si>
    <t>RPST</t>
  </si>
  <si>
    <t>32 Sequential</t>
  </si>
  <si>
    <t>Reserved</t>
  </si>
  <si>
    <t>LPDDR4</t>
  </si>
  <si>
    <t>WR Pre-amble = 2*tCK</t>
  </si>
  <si>
    <t>RD Pre-amble = Static (default)</t>
  </si>
  <si>
    <t>RD Pre-amble = Toggle</t>
  </si>
  <si>
    <t>RD Post-amble = 0.5*tCK (default)</t>
  </si>
  <si>
    <t>RD Post-amble = 1.5*tCK</t>
  </si>
  <si>
    <t>16 Sequential (default)</t>
  </si>
  <si>
    <t>Sequential on-the-fly</t>
  </si>
  <si>
    <t>MR2</t>
  </si>
  <si>
    <t>WLS</t>
  </si>
  <si>
    <t>WR LEV</t>
  </si>
  <si>
    <t>Disabled (default)</t>
  </si>
  <si>
    <t>Enabled</t>
  </si>
  <si>
    <t>RL=24, nRTP = 10</t>
  </si>
  <si>
    <t>RL=28, nRTP = 12</t>
  </si>
  <si>
    <t>RL=32, nRTP = 14</t>
  </si>
  <si>
    <t>RL=36, nRTP = 16</t>
  </si>
  <si>
    <t>RL=28, nRTP = 10</t>
  </si>
  <si>
    <t>RL=32, nRTP = 12</t>
  </si>
  <si>
    <t>RL=36, nRTP = 14</t>
  </si>
  <si>
    <t>RL=40, nRTP = 16</t>
  </si>
  <si>
    <t>WL Set A (default)</t>
  </si>
  <si>
    <t>WL Set B</t>
  </si>
  <si>
    <t>MR3</t>
  </si>
  <si>
    <t>PU-Cal</t>
  </si>
  <si>
    <t>WR PST</t>
  </si>
  <si>
    <t>Post Package Repair Protection</t>
  </si>
  <si>
    <t>PDDS</t>
  </si>
  <si>
    <t>DBI-WR</t>
  </si>
  <si>
    <t>DBI-RD</t>
  </si>
  <si>
    <t>RFU</t>
  </si>
  <si>
    <t>RZQ/1</t>
  </si>
  <si>
    <t>RZQ/2</t>
  </si>
  <si>
    <t>RZQ/3</t>
  </si>
  <si>
    <t>RZQ/4</t>
  </si>
  <si>
    <t>RZQ/5</t>
  </si>
  <si>
    <t>RZQ/6</t>
  </si>
  <si>
    <t>PPR protection disabled (default)</t>
  </si>
  <si>
    <t>PPR protection enabled</t>
  </si>
  <si>
    <t>WR Post-amble = 0.5*tCK (default)</t>
  </si>
  <si>
    <t>WR Post-amble = 1.5*tCK</t>
  </si>
  <si>
    <t>VDDQ/2.5</t>
  </si>
  <si>
    <t>VDDQ/3 (default)</t>
  </si>
  <si>
    <t>INIT4</t>
  </si>
  <si>
    <t>emr2</t>
  </si>
  <si>
    <t>emr3</t>
  </si>
  <si>
    <t>MR13</t>
  </si>
  <si>
    <t>CBT</t>
  </si>
  <si>
    <t>RPT</t>
  </si>
  <si>
    <t>VRO</t>
  </si>
  <si>
    <t>VRCG</t>
  </si>
  <si>
    <t>RRO</t>
  </si>
  <si>
    <t>DMD</t>
  </si>
  <si>
    <t>FSP-WR</t>
  </si>
  <si>
    <t>FSP-OP</t>
  </si>
  <si>
    <t>Normal Operation (default)</t>
  </si>
  <si>
    <t>Command Bus Training Mode Enabled</t>
  </si>
  <si>
    <t>Normal operation (default)</t>
  </si>
  <si>
    <t>VREF Fast Response (high current) mode</t>
  </si>
  <si>
    <t>Disable codes 001 and 010 in MR4 OP[2:0]</t>
  </si>
  <si>
    <t>Enable all codes in MR4 OP[2:0]</t>
  </si>
  <si>
    <t>Data Mask Operation Enabled (default)</t>
  </si>
  <si>
    <t>Data Mask Operation Disabled</t>
  </si>
  <si>
    <t>Frequency-Set-Point[0] (default)</t>
  </si>
  <si>
    <t>Frequency-Set-Point[1]</t>
  </si>
  <si>
    <t>0xe0</t>
  </si>
  <si>
    <t>INIT5</t>
  </si>
  <si>
    <t>0xe4</t>
  </si>
  <si>
    <t>INIT6</t>
  </si>
  <si>
    <t>0xe8</t>
  </si>
  <si>
    <t>INIT7</t>
  </si>
  <si>
    <t>0Xec</t>
  </si>
  <si>
    <t>MR11</t>
  </si>
  <si>
    <t>DQ ODT</t>
  </si>
  <si>
    <t>Disable (Default)</t>
  </si>
  <si>
    <t>DQ ODTnt</t>
  </si>
  <si>
    <t>CA ODT</t>
  </si>
  <si>
    <t>mr4</t>
  </si>
  <si>
    <t>mr5</t>
  </si>
  <si>
    <t>MR12</t>
  </si>
  <si>
    <t>VREF Settings</t>
  </si>
  <si>
    <t>VR-CA</t>
  </si>
  <si>
    <t>VREF(CA) Range[0] enabled</t>
  </si>
  <si>
    <t>VREF(CA) Range[1] enabled (default)</t>
  </si>
  <si>
    <t>mr22</t>
  </si>
  <si>
    <t>mr6</t>
  </si>
  <si>
    <t>MR22</t>
  </si>
  <si>
    <t>ODTD for x8_2ch(Byte) mode</t>
  </si>
  <si>
    <t>ODTD-CA</t>
  </si>
  <si>
    <t>ODTE-CS</t>
  </si>
  <si>
    <t>ODTE-CK</t>
  </si>
  <si>
    <t>SoC ODT</t>
  </si>
  <si>
    <t>ODT-CA Obeys ODT_CA bond pad (Default)</t>
  </si>
  <si>
    <t>ODT-CA Disabled</t>
  </si>
  <si>
    <t>ODT-CS Over-ride Disabled (Default)</t>
  </si>
  <si>
    <t>ODT-CS Over-ride Enabled</t>
  </si>
  <si>
    <t>ODT-CK Over-ride Disabled (Default)</t>
  </si>
  <si>
    <t>ODT-CK Over-ride Enabled</t>
  </si>
  <si>
    <t>MR14</t>
  </si>
  <si>
    <t>VR(dq)</t>
  </si>
  <si>
    <t>VREF(DQ)</t>
  </si>
  <si>
    <t>VREF(DQ) Range[0] enabled</t>
  </si>
  <si>
    <t>VREF(DQ) Range[1] enabled (default)</t>
  </si>
  <si>
    <t>WL=10</t>
  </si>
  <si>
    <t>WL=12</t>
  </si>
  <si>
    <t>WL=14</t>
  </si>
  <si>
    <t>WL=16</t>
  </si>
  <si>
    <t>WL=18</t>
  </si>
  <si>
    <t>WL=04</t>
  </si>
  <si>
    <t>WL=06</t>
  </si>
  <si>
    <t>WL=08</t>
  </si>
  <si>
    <t>RL=06, nRTP = 08</t>
  </si>
  <si>
    <t>RL=10, nRTP = 08</t>
  </si>
  <si>
    <t>RL=14, nRTP = 08</t>
  </si>
  <si>
    <t>RL=20, nRTP = 08</t>
  </si>
  <si>
    <t>RL=12, nRTP = 08</t>
  </si>
  <si>
    <t>RL=16, nRTP = 08</t>
  </si>
  <si>
    <t>RL=22, nRTP = 08</t>
  </si>
  <si>
    <t>INIT3.mr</t>
  </si>
  <si>
    <t>INIT3.emr</t>
  </si>
  <si>
    <t>INIT4.emr2</t>
  </si>
  <si>
    <t>INIT4.emr3</t>
  </si>
  <si>
    <t>INIT6.mr4</t>
  </si>
  <si>
    <t>INIT6.mr5</t>
  </si>
  <si>
    <t>INIT7.mr22</t>
  </si>
  <si>
    <t>INIT7.mr6</t>
  </si>
  <si>
    <t>Output the VREF(CA) and VREF(DQ) values on DQ bits</t>
  </si>
  <si>
    <t>Controller Register field</t>
  </si>
  <si>
    <t>SDRAM Mode Register</t>
  </si>
  <si>
    <t>Function</t>
  </si>
  <si>
    <t>Data</t>
  </si>
  <si>
    <t>dev_zqinit_x32</t>
  </si>
  <si>
    <t>max_auto_init_x1024</t>
  </si>
  <si>
    <t>Included INIT* registers for LPDDR4</t>
  </si>
  <si>
    <t>4th May 2019</t>
  </si>
  <si>
    <t>Value Selected</t>
  </si>
  <si>
    <t>MR6</t>
  </si>
  <si>
    <t>MR5</t>
  </si>
  <si>
    <t>MR4</t>
  </si>
  <si>
    <t>MR0</t>
  </si>
  <si>
    <t>SDRAM Initialization routine is run after power-up</t>
  </si>
  <si>
    <t>SDRAM Initialization routine is skipped after power-up. The controller starts up in normal Mode</t>
  </si>
  <si>
    <t>SDRAM Initialization routine is skipped after power-up. The controller starts up in self-refresh Mode</t>
  </si>
  <si>
    <t>INIT0.skip_dram_init</t>
  </si>
  <si>
    <t>DDR4</t>
  </si>
  <si>
    <t>WR and RTP</t>
  </si>
  <si>
    <t>WR=10 and RTP=5</t>
  </si>
  <si>
    <t>WR=12 and RTP=6</t>
  </si>
  <si>
    <t>WR=14 and RTP=7</t>
  </si>
  <si>
    <t>WR=16 and RTP=8</t>
  </si>
  <si>
    <t>WR=18 and RTP=9</t>
  </si>
  <si>
    <t>WR=20 and RTP=10</t>
  </si>
  <si>
    <t>WR=26 and RTP=13</t>
  </si>
  <si>
    <t>DLL Reset</t>
  </si>
  <si>
    <t>No</t>
  </si>
  <si>
    <t>Yes</t>
  </si>
  <si>
    <t>TM</t>
  </si>
  <si>
    <t>Normal</t>
  </si>
  <si>
    <t>Test</t>
  </si>
  <si>
    <t>CAS Latency</t>
  </si>
  <si>
    <t>Reserved for 29</t>
  </si>
  <si>
    <t>Reserved for 31</t>
  </si>
  <si>
    <t>Read Burst Type</t>
  </si>
  <si>
    <t>Sequential</t>
  </si>
  <si>
    <t>Burst Length</t>
  </si>
  <si>
    <t>8 (Fixed)</t>
  </si>
  <si>
    <t>BC4 or 8 (on the fly)</t>
  </si>
  <si>
    <t>BC4 (Fixed)</t>
  </si>
  <si>
    <t>Interleaved</t>
  </si>
  <si>
    <t>Additive Latency</t>
  </si>
  <si>
    <t>Output Driver Impedance Control</t>
  </si>
  <si>
    <t>DLL Enable</t>
  </si>
  <si>
    <t>Disable</t>
  </si>
  <si>
    <t>Enable</t>
  </si>
  <si>
    <t>AL disabled</t>
  </si>
  <si>
    <t>CL-1</t>
  </si>
  <si>
    <t>CL-2</t>
  </si>
  <si>
    <t>RZQ/7</t>
  </si>
  <si>
    <t>Write CRC</t>
  </si>
  <si>
    <t>RTT_WR</t>
  </si>
  <si>
    <t>Low Power Auto Self
Refresh (LP ASR)</t>
  </si>
  <si>
    <t>CAS Write Latency(CWL)</t>
  </si>
  <si>
    <t>Dynamic ODT Off</t>
  </si>
  <si>
    <t>Hi-Z</t>
  </si>
  <si>
    <t>Manual Mode (Normal Operaing Temperature Range)</t>
  </si>
  <si>
    <t>Manual Mode (Reduced Operating Temperature Range)</t>
  </si>
  <si>
    <t>Manual Mode (Extended Operating Temperature Range)</t>
  </si>
  <si>
    <t>ASR Mode (Auto Self Refresh)</t>
  </si>
  <si>
    <t>Low Power Auto Self Refresh (LP ASR)</t>
  </si>
  <si>
    <t>Qoff</t>
  </si>
  <si>
    <t>TDQS enable</t>
  </si>
  <si>
    <t>RTT_NOM</t>
  </si>
  <si>
    <t>Output buffer enabled</t>
  </si>
  <si>
    <t>Output buffer disabled</t>
  </si>
  <si>
    <t>RTT_NOM Disable</t>
  </si>
  <si>
    <t>MPR Read Format</t>
  </si>
  <si>
    <t xml:space="preserve">Write CMD Latency when CRC and DM are enabled </t>
  </si>
  <si>
    <t>Fine Granularity Refresh Mode</t>
  </si>
  <si>
    <t>Temperature sensor readout</t>
  </si>
  <si>
    <t>Per DRAM Addressability</t>
  </si>
  <si>
    <t>Geardown Mode</t>
  </si>
  <si>
    <t>MPR Operation</t>
  </si>
  <si>
    <t>MPR page Selection</t>
  </si>
  <si>
    <t>Serial</t>
  </si>
  <si>
    <t>Parallel</t>
  </si>
  <si>
    <t>Staggered</t>
  </si>
  <si>
    <t>4nCK</t>
  </si>
  <si>
    <t>5nCK</t>
  </si>
  <si>
    <t>6nCK</t>
  </si>
  <si>
    <t>Write CMD Latency when CRC and DM are enabled</t>
  </si>
  <si>
    <t>Fixed 2x</t>
  </si>
  <si>
    <t>Fixed 4x</t>
  </si>
  <si>
    <t>Enable on the fly 2x</t>
  </si>
  <si>
    <t>Enable on the fly 4x</t>
  </si>
  <si>
    <t>1/2 rate</t>
  </si>
  <si>
    <t>1/4 rate</t>
  </si>
  <si>
    <t>Dataflow from/to MPR</t>
  </si>
  <si>
    <t>Page0</t>
  </si>
  <si>
    <t>Page1</t>
  </si>
  <si>
    <t>Page2</t>
  </si>
  <si>
    <t>Page3</t>
  </si>
  <si>
    <t>hPPR</t>
  </si>
  <si>
    <t>Write Preamble</t>
  </si>
  <si>
    <t>Read Preamble</t>
  </si>
  <si>
    <t>Read Preamble Training
Mode</t>
  </si>
  <si>
    <t>Self Refresh Abort</t>
  </si>
  <si>
    <t>CS to CMD/ADDR Latency
Mode (cycles)</t>
  </si>
  <si>
    <t>sPPR</t>
  </si>
  <si>
    <t>Internal Vref Monitor</t>
  </si>
  <si>
    <t>Temperature Controlled
Refresh Mode</t>
  </si>
  <si>
    <t>Maximum Power Down
Mode</t>
  </si>
  <si>
    <t>1 nCK</t>
  </si>
  <si>
    <t>2 nCK</t>
  </si>
  <si>
    <t xml:space="preserve">CS to CMD/ADDR Latency Mode </t>
  </si>
  <si>
    <t>Maximum Power Down Mode</t>
  </si>
  <si>
    <t>Temperature Controlled Refresh Range</t>
  </si>
  <si>
    <t>Extended</t>
  </si>
  <si>
    <t>Read Preamble Training Mode</t>
  </si>
  <si>
    <t>Temperature Controlled Refresh Mode</t>
  </si>
  <si>
    <t>Read DBI</t>
  </si>
  <si>
    <t>Write DBI</t>
  </si>
  <si>
    <t>Data Mask</t>
  </si>
  <si>
    <t>CA parity Persistent Error</t>
  </si>
  <si>
    <t>RTT_PARK</t>
  </si>
  <si>
    <t>ODT Input Buffer during Power Down mode</t>
  </si>
  <si>
    <t>C/A Parity Error Status</t>
  </si>
  <si>
    <t>CRC Error Clear</t>
  </si>
  <si>
    <t>C/A Parity Latency Mode</t>
  </si>
  <si>
    <t>ODT input buffer is activated</t>
  </si>
  <si>
    <t>ODT input buffer is deactivated</t>
  </si>
  <si>
    <t>Clear</t>
  </si>
  <si>
    <t>Error</t>
  </si>
  <si>
    <t>VrefDQ Training Enable</t>
  </si>
  <si>
    <t>VrefDQ Training Range</t>
  </si>
  <si>
    <t>VrefDQ Training Value</t>
  </si>
  <si>
    <t>Disable(Normal operation Mode)</t>
  </si>
  <si>
    <t>Enable(Training Mode)</t>
  </si>
  <si>
    <t>Range 1</t>
  </si>
  <si>
    <t>Range 2</t>
  </si>
  <si>
    <t>7th May 2019</t>
  </si>
  <si>
    <t>Included INIT* registers for DDR4</t>
  </si>
  <si>
    <t>Included ADDRMAP* registers</t>
  </si>
  <si>
    <t>SDRAM ADDRESS BIT</t>
  </si>
  <si>
    <t>r16</t>
  </si>
  <si>
    <t>c2</t>
  </si>
  <si>
    <t>c3</t>
  </si>
  <si>
    <t>c4</t>
  </si>
  <si>
    <t>c5</t>
  </si>
  <si>
    <t>c6</t>
  </si>
  <si>
    <t>c7</t>
  </si>
  <si>
    <t>c8</t>
  </si>
  <si>
    <t>c9</t>
  </si>
  <si>
    <t>b0</t>
  </si>
  <si>
    <t>b1</t>
  </si>
  <si>
    <t>b2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</si>
  <si>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</si>
  <si>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</si>
  <si>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</si>
  <si>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</si>
  <si>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</si>
  <si>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</si>
  <si>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</si>
  <si>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</si>
  <si>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</si>
  <si>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</si>
  <si>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</si>
  <si>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</si>
  <si>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</si>
  <si>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</si>
  <si>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</si>
  <si>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</si>
  <si>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INIT Register</t>
  </si>
  <si>
    <t>dch</t>
  </si>
  <si>
    <t>cs1</t>
  </si>
  <si>
    <t>cs0</t>
  </si>
  <si>
    <t>addrmap_dch_bit0</t>
  </si>
  <si>
    <t>addrmap_cs_bit1</t>
  </si>
  <si>
    <t>addrmap_cs_bit0</t>
  </si>
  <si>
    <t>Register value</t>
  </si>
  <si>
    <t>c10</t>
  </si>
  <si>
    <t>c11</t>
  </si>
  <si>
    <t>bg0</t>
  </si>
  <si>
    <t>bg1</t>
  </si>
  <si>
    <t>cid0</t>
  </si>
  <si>
    <t>cid1</t>
  </si>
  <si>
    <t>NA</t>
  </si>
  <si>
    <t>If unused put NA in HIF address bit.</t>
  </si>
  <si>
    <t>r17</t>
  </si>
  <si>
    <t>ADDRMAP0</t>
  </si>
  <si>
    <t>ADDRMAP1</t>
  </si>
  <si>
    <t>addrmap_bank_b2</t>
  </si>
  <si>
    <t>addrmap_bank_b1</t>
  </si>
  <si>
    <t>31::22</t>
  </si>
  <si>
    <t>addrmap_bank_b0</t>
  </si>
  <si>
    <t>ADDRMAP2</t>
  </si>
  <si>
    <t>ADDRMAP3</t>
  </si>
  <si>
    <t>ADDRMAP4</t>
  </si>
  <si>
    <t>ADDRMAP5</t>
  </si>
  <si>
    <t>ADDRMAP6</t>
  </si>
  <si>
    <t>ADDRMAP7</t>
  </si>
  <si>
    <t>ADDRMAP8</t>
  </si>
  <si>
    <t>ADDRMAP9</t>
  </si>
  <si>
    <t>ADDRMAP10</t>
  </si>
  <si>
    <t>ADDRMAP11</t>
  </si>
  <si>
    <t>0x200</t>
  </si>
  <si>
    <t>Address Map Register</t>
  </si>
  <si>
    <t>0x204</t>
  </si>
  <si>
    <t>addrmap_col_b5</t>
  </si>
  <si>
    <t>addrmap_col_b4</t>
  </si>
  <si>
    <t>addrmap_col_b3</t>
  </si>
  <si>
    <t>addrmap_col_b2</t>
  </si>
  <si>
    <t>0x208</t>
  </si>
  <si>
    <t>addrmap_col_b9</t>
  </si>
  <si>
    <t>addrmap_col_b8</t>
  </si>
  <si>
    <t>addrmap_col_b7</t>
  </si>
  <si>
    <t>addrmap_col_b6</t>
  </si>
  <si>
    <t>0x20c</t>
  </si>
  <si>
    <t>0x210</t>
  </si>
  <si>
    <t>col_addr_shift</t>
  </si>
  <si>
    <t>addrmap_col_b11</t>
  </si>
  <si>
    <t>addrmap_col_b10</t>
  </si>
  <si>
    <t>30::13</t>
  </si>
  <si>
    <t>0x214</t>
  </si>
  <si>
    <t>addrmap_row_b11</t>
  </si>
  <si>
    <t>addrmap_row_b2_10</t>
  </si>
  <si>
    <t>addrmap_row_b1</t>
  </si>
  <si>
    <t>addrmap_row_b0</t>
  </si>
  <si>
    <t>lpddr3_6gb_12gb</t>
  </si>
  <si>
    <t>lpddr4_3gb_6gb_12gb</t>
  </si>
  <si>
    <t>addrmap_row_b15</t>
  </si>
  <si>
    <t>addrmap_row_b14</t>
  </si>
  <si>
    <t>addrmap_row_b13</t>
  </si>
  <si>
    <t>addrmap_row_b12</t>
  </si>
  <si>
    <t>30::29</t>
  </si>
  <si>
    <t>0x218</t>
  </si>
  <si>
    <t>0x21c</t>
  </si>
  <si>
    <t>addrmap_row_b17</t>
  </si>
  <si>
    <t>addrmap_row_b16</t>
  </si>
  <si>
    <t>addrmap_bg_b1</t>
  </si>
  <si>
    <t>addrmap_bg_b0</t>
  </si>
  <si>
    <t>31::14</t>
  </si>
  <si>
    <t>0x220</t>
  </si>
  <si>
    <t>addrmap_row_b5</t>
  </si>
  <si>
    <t>addrmap_row_b4</t>
  </si>
  <si>
    <t>addrmap_row_b3</t>
  </si>
  <si>
    <t>addrmap_row_b2</t>
  </si>
  <si>
    <t>0x224</t>
  </si>
  <si>
    <t>addrmap_row_b9</t>
  </si>
  <si>
    <t>addrmap_row_b8</t>
  </si>
  <si>
    <t>addrmap_row_b7</t>
  </si>
  <si>
    <t>addrmap_row_b6</t>
  </si>
  <si>
    <t>0x228</t>
  </si>
  <si>
    <t>addrmap_cid_b1</t>
  </si>
  <si>
    <t>addrmap_cid_b0</t>
  </si>
  <si>
    <t>addrmap_row_b10</t>
  </si>
  <si>
    <t>0x22c</t>
  </si>
  <si>
    <t>b2_10</t>
  </si>
  <si>
    <t>ADDRMAP REGISTERS CALCULATION</t>
  </si>
  <si>
    <t>Indicates what type of LPDDR4 SDRAM device is in use.</t>
  </si>
  <si>
    <t>To set multiple HIF address bits for SDRAM row address 2 to 10. When set to 15, the values of row address bits 2 to 10 are 
defined by registers ADDRMAP9, ADDRMAP10,
ADDRMAP11.</t>
  </si>
  <si>
    <t>16th May 2019</t>
  </si>
  <si>
    <t>3) Choose the required values for INIT* registers from the dropdown in 'DDR4/LPDDR4_INIT' sheet.</t>
  </si>
  <si>
    <t>4) View the calculated register values in 'Registers_Values' sheet.</t>
  </si>
  <si>
    <t>2) The HIF address to be mapped to desired SDRAM should be given in 'ADDRMAP REGISTERS CALCULATION' in 'Parameters' sheet.</t>
  </si>
  <si>
    <t>HIF ADDRESS BIT</t>
  </si>
  <si>
    <t>00</t>
  </si>
  <si>
    <t>Select MR3 DBI-RD before selecting this option</t>
  </si>
  <si>
    <t>To map column address to 
lower HIF address in specific cases required by inline ECC
 configuration.</t>
  </si>
  <si>
    <t>Spreadsheet to calculate timing dependent registers, INIT* and Address Mapping registers.</t>
  </si>
  <si>
    <t>Only for DDR4 with support for CA parity. For LPDDR4 put 0.</t>
  </si>
  <si>
    <t>Setting of DWD_DDRPHY_PIPE_DFI_MISC</t>
  </si>
  <si>
    <t>Setting of DWC_DDRPHY_PIPE_DFI_RD</t>
  </si>
  <si>
    <t>Register Command Latency Adder - F0RC0F (where applicable)</t>
  </si>
  <si>
    <t>tDQSSnom = 1tck for LPDDR4</t>
  </si>
  <si>
    <t>Value to be updated after PHY training.</t>
  </si>
  <si>
    <t>Setting of DWC_DDRPHY_PIPE_DFI_WR</t>
  </si>
  <si>
    <t>Value for information only.</t>
  </si>
  <si>
    <t>Included calculation from PUB databook for DFITMG* registers.</t>
  </si>
  <si>
    <t>16th Nov 2019</t>
  </si>
  <si>
    <t>WR_PREAMBLE = 1 (1tCK write preamble), 2 (2tCK write
preamble). This is unique to DDR4 and LPDDR4.</t>
  </si>
  <si>
    <t>RD_POSTAMBLE = 0.5 (0.5tCK read postamble), 1.5
(1.5tCK read postamble). This is unique to LPDDR4.</t>
  </si>
  <si>
    <t>1 - disable the automatic dfi_ctrlupd_req generation by the uMCTL2.
0 - uMCTL2 issues dfi_ctrlupd_req periodically.</t>
  </si>
  <si>
    <t>WR=24 and RTP=12</t>
  </si>
  <si>
    <t>WR=22 and RTP=11</t>
  </si>
  <si>
    <t>uMCTL2_3.70a</t>
  </si>
  <si>
    <t xml:space="preserve">This spreadsheet is for use only by ‘[VS] Horizon-ShanghaiJ3’. </t>
  </si>
  <si>
    <t>NA</t>
    <phoneticPr fontId="0" type="noConversion"/>
  </si>
  <si>
    <t>011000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</si>
</sst>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0000"/>
    <numFmt numFmtId="165" formatCode="00000000000000000000000000000000"/>
    <numFmt numFmtId="166" formatCode="00"/>
    <numFmt numFmtId="167" formatCode="000"/>
    <numFmt numFmtId="168" formatCode="0000"/>
    <numFmt numFmtId="169" formatCode="0.00000E+00"/>
    <numFmt numFmtId="170" formatCode="00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4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" borderId="0" xfId="0" applyFont="1" applyFill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3" fillId="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0" fillId="8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0" borderId="1" xfId="0" applyFon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5" fillId="0" borderId="0" xfId="0" applyFont="1"/>
    <xf numFmtId="0" fontId="0" fillId="11" borderId="1" xfId="0" applyFill="1" applyBorder="1"/>
    <xf numFmtId="165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12" borderId="0" xfId="0" applyFill="1"/>
    <xf numFmtId="0" fontId="0" fillId="13" borderId="0" xfId="0" applyFill="1"/>
    <xf numFmtId="0" fontId="0" fillId="12" borderId="0" xfId="0" applyFill="1" applyAlignment="1">
      <alignment horizontal="center" vertical="center"/>
    </xf>
    <xf numFmtId="0" fontId="6" fillId="14" borderId="4" xfId="0" applyFont="1" applyFill="1" applyBorder="1"/>
    <xf numFmtId="0" fontId="6" fillId="14" borderId="5" xfId="0" applyFont="1" applyFill="1" applyBorder="1"/>
    <xf numFmtId="0" fontId="6" fillId="14" borderId="6" xfId="0" applyFont="1" applyFill="1" applyBorder="1"/>
    <xf numFmtId="0" fontId="6" fillId="15" borderId="7" xfId="0" applyFont="1" applyFill="1" applyBorder="1"/>
    <xf numFmtId="0" fontId="6" fillId="15" borderId="0" xfId="0" applyFont="1" applyFill="1" applyBorder="1"/>
    <xf numFmtId="0" fontId="6" fillId="15" borderId="8" xfId="0" applyFont="1" applyFill="1" applyBorder="1"/>
    <xf numFmtId="0" fontId="6" fillId="14" borderId="7" xfId="0" applyFont="1" applyFill="1" applyBorder="1"/>
    <xf numFmtId="0" fontId="6" fillId="14" borderId="0" xfId="0" applyFont="1" applyFill="1" applyBorder="1"/>
    <xf numFmtId="0" fontId="6" fillId="14" borderId="8" xfId="0" applyFont="1" applyFill="1" applyBorder="1"/>
    <xf numFmtId="0" fontId="6" fillId="14" borderId="9" xfId="0" applyFont="1" applyFill="1" applyBorder="1"/>
    <xf numFmtId="0" fontId="6" fillId="14" borderId="10" xfId="0" applyFont="1" applyFill="1" applyBorder="1"/>
    <xf numFmtId="0" fontId="7" fillId="11" borderId="11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0" fillId="17" borderId="0" xfId="0" applyFill="1" applyBorder="1" applyAlignment="1">
      <alignment horizontal="right"/>
    </xf>
    <xf numFmtId="0" fontId="0" fillId="17" borderId="12" xfId="0" applyFill="1" applyBorder="1" applyAlignment="1"/>
    <xf numFmtId="0" fontId="0" fillId="17" borderId="0" xfId="0" applyFill="1" applyBorder="1" applyAlignment="1"/>
    <xf numFmtId="22" fontId="0" fillId="0" borderId="0" xfId="0" applyNumberFormat="1" applyAlignment="1">
      <alignment horizontal="left"/>
    </xf>
    <xf numFmtId="166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168" fontId="0" fillId="0" borderId="0" xfId="0" applyNumberFormat="1"/>
    <xf numFmtId="169" fontId="0" fillId="0" borderId="0" xfId="0" applyNumberFormat="1" applyBorder="1"/>
    <xf numFmtId="168" fontId="0" fillId="0" borderId="0" xfId="0" applyNumberFormat="1" applyBorder="1"/>
    <xf numFmtId="0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ont="1" applyFill="1" applyBorder="1"/>
    <xf numFmtId="0" fontId="0" fillId="2" borderId="0" xfId="0" applyFill="1"/>
    <xf numFmtId="166" fontId="0" fillId="0" borderId="1" xfId="0" applyNumberFormat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0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1" fillId="6" borderId="14" xfId="0" applyFont="1" applyFill="1" applyBorder="1"/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" xfId="0" applyBorder="1" applyAlignment="1"/>
    <xf numFmtId="0" fontId="0" fillId="0" borderId="0" xfId="0" applyFill="1"/>
    <xf numFmtId="0" fontId="0" fillId="19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20" borderId="1" xfId="0" applyFill="1" applyBorder="1"/>
    <xf numFmtId="0" fontId="0" fillId="20" borderId="2" xfId="0" applyFill="1" applyBorder="1"/>
    <xf numFmtId="0" fontId="0" fillId="20" borderId="2" xfId="0" applyFill="1" applyBorder="1" applyAlignment="1"/>
    <xf numFmtId="0" fontId="0" fillId="20" borderId="1" xfId="0" applyFill="1" applyBorder="1" applyAlignment="1"/>
    <xf numFmtId="0" fontId="6" fillId="0" borderId="0" xfId="0" applyFont="1" applyFill="1" applyBorder="1"/>
    <xf numFmtId="0" fontId="6" fillId="14" borderId="15" xfId="0" applyFont="1" applyFill="1" applyBorder="1"/>
    <xf numFmtId="0" fontId="0" fillId="13" borderId="2" xfId="0" applyFill="1" applyBorder="1"/>
    <xf numFmtId="0" fontId="0" fillId="12" borderId="1" xfId="0" applyFill="1" applyBorder="1"/>
    <xf numFmtId="0" fontId="2" fillId="12" borderId="1" xfId="0" applyFont="1" applyFill="1" applyBorder="1"/>
    <xf numFmtId="0" fontId="0" fillId="12" borderId="2" xfId="0" applyFill="1" applyBorder="1"/>
    <xf numFmtId="0" fontId="0" fillId="2" borderId="13" xfId="0" applyFill="1" applyBorder="1" applyAlignment="1">
      <alignment horizontal="left" wrapText="1"/>
    </xf>
    <xf numFmtId="0" fontId="0" fillId="21" borderId="1" xfId="0" applyFill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0" fillId="21" borderId="1" xfId="0" applyFill="1" applyBorder="1" applyAlignment="1">
      <alignment horizontal="left" wrapText="1"/>
    </xf>
    <xf numFmtId="0" fontId="0" fillId="21" borderId="13" xfId="0" applyFill="1" applyBorder="1" applyAlignment="1" applyProtection="1">
      <alignment horizontal="left"/>
    </xf>
    <xf numFmtId="0" fontId="0" fillId="11" borderId="1" xfId="0" applyFill="1" applyBorder="1" applyAlignment="1" applyProtection="1">
      <alignment horizontal="left"/>
      <protection locked="0"/>
    </xf>
    <xf numFmtId="0" fontId="0" fillId="11" borderId="1" xfId="0" applyFont="1" applyFill="1" applyBorder="1" applyAlignment="1" applyProtection="1">
      <alignment wrapText="1"/>
      <protection locked="0"/>
    </xf>
    <xf numFmtId="0" fontId="0" fillId="11" borderId="1" xfId="0" applyFill="1" applyBorder="1" applyAlignment="1" applyProtection="1">
      <alignment horizontal="left" wrapText="1"/>
      <protection locked="0"/>
    </xf>
    <xf numFmtId="170" fontId="0" fillId="11" borderId="1" xfId="0" applyNumberFormat="1" applyFill="1" applyBorder="1" applyAlignment="1" applyProtection="1">
      <alignment horizontal="left"/>
      <protection locked="0"/>
    </xf>
    <xf numFmtId="0" fontId="0" fillId="11" borderId="3" xfId="0" applyFill="1" applyBorder="1" applyAlignment="1" applyProtection="1">
      <alignment horizontal="left"/>
      <protection locked="0"/>
    </xf>
    <xf numFmtId="0" fontId="0" fillId="11" borderId="2" xfId="0" applyFill="1" applyBorder="1" applyAlignment="1" applyProtection="1">
      <alignment horizontal="left"/>
      <protection locked="0"/>
    </xf>
    <xf numFmtId="0" fontId="6" fillId="14" borderId="7" xfId="0" applyFont="1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left" wrapText="1"/>
      <protection locked="0"/>
    </xf>
    <xf numFmtId="0" fontId="4" fillId="11" borderId="13" xfId="0" applyFont="1" applyFill="1" applyBorder="1" applyAlignment="1" applyProtection="1">
      <alignment horizontal="left"/>
      <protection locked="0"/>
    </xf>
    <xf numFmtId="0" fontId="4" fillId="0" borderId="1" xfId="0" quotePrefix="1" applyFont="1" applyBorder="1" applyAlignment="1" applyProtection="1">
      <alignment horizontal="left" wrapText="1"/>
      <protection locked="0"/>
    </xf>
    <xf numFmtId="0" fontId="0" fillId="11" borderId="1" xfId="0" applyFill="1" applyBorder="1" applyAlignment="1" applyProtection="1">
      <alignment horizontal="lef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1" xfId="0" applyFont="1" applyFill="1" applyBorder="1" applyAlignment="1" applyProtection="1">
      <alignment wrapText="1"/>
      <protection locked="0"/>
    </xf>
    <xf numFmtId="0" fontId="0" fillId="11" borderId="1" xfId="0" applyNumberFormat="1" applyFill="1" applyBorder="1" applyAlignment="1" applyProtection="1">
      <alignment horizontal="left"/>
      <protection locked="0"/>
    </xf>
    <xf numFmtId="0" fontId="0" fillId="11" borderId="1" xfId="0" applyNumberFormat="1" applyFill="1" applyBorder="1" applyAlignment="1" applyProtection="1">
      <alignment horizontal="left" wrapText="1"/>
      <protection locked="0"/>
    </xf>
    <xf numFmtId="0" fontId="0" fillId="11" borderId="1" xfId="0" applyFill="1" applyBorder="1" applyProtection="1">
      <protection locked="0"/>
    </xf>
    <xf numFmtId="164" fontId="0" fillId="0" borderId="0" xfId="0" applyNumberFormat="1" applyFill="1" applyAlignment="1">
      <alignment horizontal="left"/>
    </xf>
    <xf numFmtId="0" fontId="0" fillId="0" borderId="13" xfId="0" applyFill="1" applyBorder="1"/>
    <xf numFmtId="168" fontId="0" fillId="0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83281</xdr:colOff>
      <xdr:row>5</xdr:row>
      <xdr:rowOff>74110</xdr:rowOff>
    </xdr:from>
    <xdr:ext cx="11736546" cy="158697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0A3AC11-BE52-4DB4-8B62-A0F3C47278FD}"/>
            </a:ext>
          </a:extLst>
        </xdr:cNvPr>
        <xdr:cNvSpPr/>
      </xdr:nvSpPr>
      <xdr:spPr>
        <a:xfrm>
          <a:off x="83281" y="994860"/>
          <a:ext cx="11736546" cy="158697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CONFIDENTIAL INFORMATION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following material is confidential and is being disclosed pursuant to the agreement under which your employer has licensed the Synopsys product(s) referenced herein.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information being disclosed may be used only as permitted under such agreement.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lnSpc>
              <a:spcPts val="1400"/>
            </a:lnSpc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lnSpc>
              <a:spcPts val="1400"/>
            </a:lnSpc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THIS REPORT AND ALL INFORMATION CONTAINED IN THIS REPORT ARE PROVIDED “AS IS” WITHOUT WARRANTY, INDEMNIFICATION OR SUPPORT OF ANY KIND,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AND SYNOPSYS MAKES NO OTHER WARRANTIES EXPRESS, IMPLIED, STATUTORY OR OTHERWISE REGARDING SUCH INFORMATION. SYNOPSYS SPECIFICALLY DISCLAIMS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ANY IMPLIED WARRANTIES OF MERCHANTABILITY, FITNESS FOR A PARTICULAR PURPOSE AND NONINFRINGEMENT, OR ARISING FROM A COURSE OF DEALING OR USAGE OF TRADE.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4290278" cy="65588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5933E70-DAB8-4377-9D7C-9746D921C420}"/>
            </a:ext>
          </a:extLst>
        </xdr:cNvPr>
        <xdr:cNvSpPr/>
      </xdr:nvSpPr>
      <xdr:spPr>
        <a:xfrm>
          <a:off x="0" y="0"/>
          <a:ext cx="429027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Synopsys Confidential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MCTL2_3.70a_Register_Map%20-%20DDR4%20and%20LPDDR4_v3.0%20-%20ddr4_266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al Disclaimer"/>
      <sheetName val="Introduction"/>
      <sheetName val="Parameters"/>
      <sheetName val="DDR4_INIT"/>
      <sheetName val="LDDR4_INIT"/>
      <sheetName val="Registers_Values"/>
      <sheetName val="Registers_Calculation"/>
      <sheetName val="L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D24" sqref="D24"/>
    </sheetView>
  </sheetViews>
  <sheetFormatPr defaultRowHeight="14.5" x14ac:dyDescent="0.35"/>
  <sheetData>
    <row r="1" s="42" customFormat="1" x14ac:dyDescent="0.35"/>
    <row r="2" s="42" customFormat="1" x14ac:dyDescent="0.35"/>
    <row r="3" s="42" customFormat="1" x14ac:dyDescent="0.35"/>
    <row r="4" s="42" customFormat="1" x14ac:dyDescent="0.35"/>
    <row r="10" ht="11.15" customHeight="1" x14ac:dyDescent="0.35"/>
  </sheetData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G6" sqref="G6"/>
    </sheetView>
  </sheetViews>
  <sheetFormatPr defaultRowHeight="14.5" x14ac:dyDescent="0.35"/>
  <cols>
    <col min="1" max="1" width="15.26953125" customWidth="1"/>
    <col min="4" max="4" width="11.81640625" customWidth="1"/>
    <col min="5" max="5" width="8.7265625" customWidth="1"/>
    <col min="6" max="6" width="56.81640625" customWidth="1"/>
    <col min="7" max="7" width="11.81640625" customWidth="1"/>
    <col min="8" max="8" width="10.81640625" bestFit="1" customWidth="1"/>
    <col min="12" max="12" width="11.7265625" customWidth="1"/>
  </cols>
  <sheetData>
    <row r="1" spans="1:12" ht="15" thickBot="1" x14ac:dyDescent="0.4">
      <c r="A1" s="114" t="s">
        <v>439</v>
      </c>
      <c r="G1" s="59" t="s">
        <v>455</v>
      </c>
    </row>
    <row r="2" spans="1:12" x14ac:dyDescent="0.35">
      <c r="A2" s="115" t="s">
        <v>888</v>
      </c>
      <c r="B2" s="115"/>
      <c r="C2" s="117"/>
      <c r="D2" s="117"/>
      <c r="E2" s="117"/>
      <c r="F2" s="117"/>
      <c r="G2" s="48" t="s">
        <v>433</v>
      </c>
      <c r="H2" s="49"/>
      <c r="I2" s="49"/>
      <c r="J2" s="49"/>
      <c r="K2" s="49"/>
      <c r="L2" s="50"/>
    </row>
    <row r="3" spans="1:12" x14ac:dyDescent="0.35">
      <c r="A3" s="116" t="s">
        <v>441</v>
      </c>
      <c r="B3" s="115"/>
      <c r="C3" s="2"/>
      <c r="D3" s="2"/>
      <c r="G3" s="51" t="s">
        <v>434</v>
      </c>
      <c r="H3" s="52"/>
      <c r="I3" s="52"/>
      <c r="J3" s="52"/>
      <c r="K3" s="52"/>
      <c r="L3" s="53"/>
    </row>
    <row r="4" spans="1:12" x14ac:dyDescent="0.35">
      <c r="G4" s="54" t="s">
        <v>403</v>
      </c>
      <c r="H4" s="55"/>
      <c r="I4" s="55"/>
      <c r="J4" s="55"/>
      <c r="K4" s="55"/>
      <c r="L4" s="56"/>
    </row>
    <row r="5" spans="1:12" x14ac:dyDescent="0.35">
      <c r="G5" s="51" t="s">
        <v>437</v>
      </c>
      <c r="H5" s="52"/>
      <c r="I5" s="52"/>
      <c r="J5" s="52"/>
      <c r="K5" s="52"/>
      <c r="L5" s="53"/>
    </row>
    <row r="6" spans="1:12" x14ac:dyDescent="0.35">
      <c r="A6" s="46" t="s">
        <v>438</v>
      </c>
      <c r="G6" s="129" t="s">
        <v>905</v>
      </c>
      <c r="H6" s="55"/>
      <c r="I6" s="55"/>
      <c r="J6" s="55"/>
      <c r="K6" s="55"/>
      <c r="L6" s="56"/>
    </row>
    <row r="7" spans="1:12" x14ac:dyDescent="0.35">
      <c r="A7" s="45" t="s">
        <v>457</v>
      </c>
      <c r="B7" s="45"/>
      <c r="C7" s="45"/>
      <c r="D7" s="45"/>
      <c r="E7" s="45"/>
      <c r="F7" s="45"/>
      <c r="G7" s="51" t="s">
        <v>435</v>
      </c>
      <c r="H7" s="52"/>
      <c r="I7" s="52"/>
      <c r="J7" s="52"/>
      <c r="K7" s="52"/>
      <c r="L7" s="53"/>
    </row>
    <row r="8" spans="1:12" ht="15" thickBot="1" x14ac:dyDescent="0.4">
      <c r="A8" s="45" t="s">
        <v>883</v>
      </c>
      <c r="B8" s="45"/>
      <c r="C8" s="45"/>
      <c r="D8" s="45"/>
      <c r="E8" s="45"/>
      <c r="F8" s="45"/>
      <c r="G8" s="113" t="s">
        <v>440</v>
      </c>
      <c r="H8" s="57"/>
      <c r="I8" s="57"/>
      <c r="J8" s="57"/>
      <c r="K8" s="57"/>
      <c r="L8" s="58"/>
    </row>
    <row r="9" spans="1:12" x14ac:dyDescent="0.35">
      <c r="A9" s="45" t="s">
        <v>881</v>
      </c>
      <c r="B9" s="45"/>
      <c r="C9" s="45"/>
      <c r="D9" s="45"/>
      <c r="E9" s="45"/>
      <c r="F9" s="45"/>
      <c r="G9" s="112"/>
    </row>
    <row r="10" spans="1:12" x14ac:dyDescent="0.35">
      <c r="A10" s="45" t="s">
        <v>882</v>
      </c>
      <c r="B10" s="45"/>
      <c r="C10" s="45"/>
      <c r="D10" s="45"/>
      <c r="E10" s="45"/>
      <c r="F10" s="45"/>
    </row>
    <row r="12" spans="1:12" x14ac:dyDescent="0.35">
      <c r="A12" s="46" t="s">
        <v>442</v>
      </c>
    </row>
    <row r="13" spans="1:12" x14ac:dyDescent="0.35">
      <c r="A13" s="47" t="s">
        <v>454</v>
      </c>
      <c r="B13" s="47">
        <v>0.3</v>
      </c>
      <c r="C13" s="45" t="s">
        <v>443</v>
      </c>
      <c r="D13" s="45"/>
      <c r="E13" s="45"/>
      <c r="F13" s="45"/>
    </row>
    <row r="14" spans="1:12" x14ac:dyDescent="0.35">
      <c r="A14" s="47" t="s">
        <v>444</v>
      </c>
      <c r="B14" s="47">
        <v>0.6</v>
      </c>
      <c r="C14" s="45" t="s">
        <v>445</v>
      </c>
      <c r="D14" s="45"/>
      <c r="E14" s="45"/>
      <c r="F14" s="45"/>
    </row>
    <row r="15" spans="1:12" x14ac:dyDescent="0.35">
      <c r="A15" s="47" t="s">
        <v>451</v>
      </c>
      <c r="B15" s="47">
        <v>0.7</v>
      </c>
      <c r="C15" s="45" t="s">
        <v>448</v>
      </c>
      <c r="D15" s="45"/>
      <c r="E15" s="45"/>
      <c r="F15" s="45"/>
    </row>
    <row r="16" spans="1:12" x14ac:dyDescent="0.35">
      <c r="A16" s="47" t="s">
        <v>450</v>
      </c>
      <c r="B16" s="47">
        <v>0.8</v>
      </c>
      <c r="C16" s="45" t="s">
        <v>449</v>
      </c>
      <c r="D16" s="45"/>
      <c r="E16" s="45"/>
      <c r="F16" s="45"/>
    </row>
    <row r="17" spans="1:7" x14ac:dyDescent="0.35">
      <c r="A17" s="47" t="s">
        <v>452</v>
      </c>
      <c r="B17" s="47">
        <v>0.9</v>
      </c>
      <c r="C17" s="45" t="s">
        <v>453</v>
      </c>
      <c r="D17" s="45"/>
      <c r="E17" s="45"/>
      <c r="F17" s="45"/>
    </row>
    <row r="18" spans="1:7" x14ac:dyDescent="0.35">
      <c r="A18" s="47" t="s">
        <v>446</v>
      </c>
      <c r="B18" s="47">
        <v>1</v>
      </c>
      <c r="C18" s="45" t="s">
        <v>447</v>
      </c>
      <c r="D18" s="45"/>
      <c r="E18" s="45"/>
      <c r="F18" s="45"/>
    </row>
    <row r="19" spans="1:7" x14ac:dyDescent="0.35">
      <c r="A19" s="47" t="s">
        <v>468</v>
      </c>
      <c r="B19" s="47">
        <v>1.1000000000000001</v>
      </c>
      <c r="C19" s="45" t="s">
        <v>470</v>
      </c>
      <c r="D19" s="45"/>
      <c r="E19" s="45"/>
      <c r="F19" s="45"/>
      <c r="G19" s="101"/>
    </row>
    <row r="20" spans="1:7" x14ac:dyDescent="0.35">
      <c r="A20" s="47" t="s">
        <v>634</v>
      </c>
      <c r="B20" s="47">
        <v>1.5</v>
      </c>
      <c r="C20" s="45" t="s">
        <v>633</v>
      </c>
      <c r="D20" s="47"/>
      <c r="E20" s="47"/>
      <c r="F20" s="47"/>
    </row>
    <row r="21" spans="1:7" x14ac:dyDescent="0.35">
      <c r="A21" s="47" t="s">
        <v>759</v>
      </c>
      <c r="B21" s="47">
        <v>1.7</v>
      </c>
      <c r="C21" s="45" t="s">
        <v>760</v>
      </c>
      <c r="D21" s="45"/>
      <c r="E21" s="45"/>
      <c r="F21" s="47"/>
    </row>
    <row r="22" spans="1:7" x14ac:dyDescent="0.35">
      <c r="A22" s="47" t="s">
        <v>880</v>
      </c>
      <c r="B22" s="47">
        <v>2</v>
      </c>
      <c r="C22" s="45" t="s">
        <v>761</v>
      </c>
      <c r="D22" s="47"/>
      <c r="E22" s="47"/>
      <c r="F22" s="47"/>
    </row>
    <row r="23" spans="1:7" x14ac:dyDescent="0.35">
      <c r="A23" s="47" t="s">
        <v>898</v>
      </c>
      <c r="B23" s="47">
        <v>3</v>
      </c>
      <c r="C23" s="45" t="s">
        <v>897</v>
      </c>
      <c r="D23" s="47"/>
      <c r="E23" s="47"/>
      <c r="F23" s="4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S131"/>
  <sheetViews>
    <sheetView topLeftCell="E11" zoomScale="75" zoomScaleNormal="100" workbookViewId="0">
      <selection activeCell="H17" sqref="H17:AS17"/>
    </sheetView>
  </sheetViews>
  <sheetFormatPr defaultRowHeight="14.5" x14ac:dyDescent="0.35"/>
  <cols>
    <col min="1" max="1" width="25.7265625" style="5" customWidth="1"/>
    <col min="2" max="2" width="23.7265625" style="5" customWidth="1"/>
    <col min="3" max="3" width="28.453125" style="5" customWidth="1"/>
    <col min="4" max="4" width="12.1796875" style="5" customWidth="1"/>
    <col min="5" max="5" width="49.54296875" style="22" customWidth="1"/>
    <col min="6" max="6" width="4.54296875" customWidth="1"/>
    <col min="7" max="7" width="22.453125" customWidth="1"/>
    <col min="8" max="42" width="4.453125" customWidth="1"/>
    <col min="43" max="43" width="3.54296875" customWidth="1"/>
    <col min="44" max="45" width="4.453125" customWidth="1"/>
  </cols>
  <sheetData>
    <row r="2" spans="1:45" x14ac:dyDescent="0.35">
      <c r="A2" s="13" t="s">
        <v>391</v>
      </c>
      <c r="B2" s="13" t="s">
        <v>84</v>
      </c>
      <c r="C2" s="13" t="s">
        <v>88</v>
      </c>
      <c r="D2" s="23" t="s">
        <v>286</v>
      </c>
    </row>
    <row r="3" spans="1:45" x14ac:dyDescent="0.35">
      <c r="A3" s="24" t="s">
        <v>287</v>
      </c>
      <c r="B3" s="133">
        <v>0.75</v>
      </c>
      <c r="C3" s="27" t="s">
        <v>89</v>
      </c>
      <c r="D3" s="8"/>
    </row>
    <row r="4" spans="1:45" x14ac:dyDescent="0.35">
      <c r="A4" s="24" t="s">
        <v>104</v>
      </c>
      <c r="B4" s="134">
        <v>1.5</v>
      </c>
      <c r="C4" s="27" t="s">
        <v>89</v>
      </c>
      <c r="D4" s="28"/>
      <c r="F4" s="40"/>
      <c r="G4" s="1" t="s">
        <v>402</v>
      </c>
    </row>
    <row r="5" spans="1:45" x14ac:dyDescent="0.35">
      <c r="A5" s="24" t="s">
        <v>87</v>
      </c>
      <c r="B5" s="135" t="s">
        <v>456</v>
      </c>
      <c r="C5" s="27" t="s">
        <v>404</v>
      </c>
      <c r="D5" s="8"/>
      <c r="F5" s="32"/>
      <c r="G5" s="1" t="s">
        <v>408</v>
      </c>
    </row>
    <row r="6" spans="1:45" x14ac:dyDescent="0.35">
      <c r="A6" s="24" t="s">
        <v>306</v>
      </c>
      <c r="B6" s="133">
        <v>0</v>
      </c>
      <c r="C6" s="27" t="s">
        <v>387</v>
      </c>
      <c r="D6" s="8"/>
      <c r="F6" s="31"/>
      <c r="G6" s="1" t="s">
        <v>409</v>
      </c>
    </row>
    <row r="7" spans="1:45" ht="29" x14ac:dyDescent="0.35">
      <c r="A7" s="8" t="s">
        <v>213</v>
      </c>
      <c r="B7" s="136">
        <v>1</v>
      </c>
      <c r="C7" s="17" t="s">
        <v>386</v>
      </c>
      <c r="D7" s="8"/>
    </row>
    <row r="8" spans="1:45" ht="61.5" customHeight="1" x14ac:dyDescent="0.35">
      <c r="A8" s="8" t="s">
        <v>135</v>
      </c>
      <c r="B8" s="136">
        <v>0</v>
      </c>
      <c r="C8" s="32" t="s">
        <v>466</v>
      </c>
      <c r="D8" s="8"/>
    </row>
    <row r="9" spans="1:45" ht="30.65" customHeight="1" x14ac:dyDescent="0.35">
      <c r="A9" s="8" t="s">
        <v>295</v>
      </c>
      <c r="B9" s="136">
        <v>0</v>
      </c>
      <c r="C9" s="17" t="s">
        <v>385</v>
      </c>
      <c r="D9" s="8"/>
    </row>
    <row r="10" spans="1:45" ht="71.150000000000006" customHeight="1" x14ac:dyDescent="0.35">
      <c r="A10" s="18" t="s">
        <v>371</v>
      </c>
      <c r="B10" s="136">
        <v>1</v>
      </c>
      <c r="C10" s="31" t="s">
        <v>410</v>
      </c>
      <c r="D10" s="18"/>
    </row>
    <row r="11" spans="1:45" x14ac:dyDescent="0.35">
      <c r="A11" s="36"/>
      <c r="B11" s="36"/>
      <c r="C11" s="37"/>
      <c r="D11" s="2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35">
      <c r="A12" s="13" t="s">
        <v>390</v>
      </c>
      <c r="B12" s="13" t="s">
        <v>300</v>
      </c>
      <c r="C12" s="13" t="s">
        <v>88</v>
      </c>
      <c r="D12" s="13" t="s">
        <v>374</v>
      </c>
      <c r="E12" s="13" t="s">
        <v>286</v>
      </c>
      <c r="G12" s="13" t="s">
        <v>877</v>
      </c>
      <c r="H12" s="13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29.15" customHeight="1" x14ac:dyDescent="0.35">
      <c r="A13" s="25" t="s">
        <v>86</v>
      </c>
      <c r="B13" s="134">
        <v>7800</v>
      </c>
      <c r="C13" s="27" t="s">
        <v>89</v>
      </c>
      <c r="D13" s="8">
        <f>ROUNDDOWN(B13/B3,0)</f>
        <v>10400</v>
      </c>
      <c r="E13" s="17" t="s">
        <v>381</v>
      </c>
      <c r="G13" s="105" t="s">
        <v>838</v>
      </c>
      <c r="H13" s="127">
        <v>0</v>
      </c>
      <c r="I13" s="111" t="s">
        <v>887</v>
      </c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2"/>
      <c r="AD13" s="2"/>
      <c r="AE13" s="2"/>
      <c r="AF13" s="2"/>
      <c r="AG13" s="2"/>
      <c r="AH13" s="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spans="1:45" ht="19" customHeight="1" x14ac:dyDescent="0.35">
      <c r="A14" s="25" t="s">
        <v>91</v>
      </c>
      <c r="B14" s="134">
        <v>15</v>
      </c>
      <c r="C14" s="27" t="s">
        <v>89</v>
      </c>
      <c r="D14" s="8">
        <f>ROUNDUP(B14/B3,0)</f>
        <v>20</v>
      </c>
      <c r="E14" s="17" t="s">
        <v>407</v>
      </c>
      <c r="G14" s="8" t="s">
        <v>848</v>
      </c>
      <c r="H14" s="139" t="s">
        <v>885</v>
      </c>
      <c r="I14" s="108" t="s">
        <v>878</v>
      </c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</row>
    <row r="15" spans="1:45" ht="29.15" customHeight="1" x14ac:dyDescent="0.35">
      <c r="A15" s="25" t="s">
        <v>92</v>
      </c>
      <c r="B15" s="134">
        <v>70200</v>
      </c>
      <c r="C15" s="27" t="s">
        <v>89</v>
      </c>
      <c r="D15" s="8">
        <f>B15</f>
        <v>70200</v>
      </c>
      <c r="E15" s="17" t="s">
        <v>417</v>
      </c>
      <c r="G15" s="8" t="s">
        <v>844</v>
      </c>
      <c r="H15" s="128">
        <v>4</v>
      </c>
      <c r="I15" s="110" t="s">
        <v>879</v>
      </c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7"/>
      <c r="AS15" s="21"/>
    </row>
    <row r="16" spans="1:45" x14ac:dyDescent="0.35">
      <c r="A16" s="25" t="s">
        <v>93</v>
      </c>
      <c r="B16" s="134">
        <v>32</v>
      </c>
      <c r="C16" s="27" t="s">
        <v>89</v>
      </c>
      <c r="D16" s="8">
        <f>ROUNDUP(B16/B3,0)</f>
        <v>43</v>
      </c>
      <c r="E16" s="17" t="s">
        <v>407</v>
      </c>
      <c r="G16" s="8" t="s">
        <v>762</v>
      </c>
      <c r="H16" s="102" t="s">
        <v>792</v>
      </c>
      <c r="I16" s="102" t="s">
        <v>793</v>
      </c>
      <c r="J16" s="102" t="s">
        <v>794</v>
      </c>
      <c r="K16" s="102" t="s">
        <v>774</v>
      </c>
      <c r="L16" s="102" t="s">
        <v>773</v>
      </c>
      <c r="M16" s="102" t="s">
        <v>772</v>
      </c>
      <c r="N16" s="102" t="s">
        <v>764</v>
      </c>
      <c r="O16" s="102" t="s">
        <v>765</v>
      </c>
      <c r="P16" s="102" t="s">
        <v>766</v>
      </c>
      <c r="Q16" s="102" t="s">
        <v>767</v>
      </c>
      <c r="R16" s="102" t="s">
        <v>768</v>
      </c>
      <c r="S16" s="102" t="s">
        <v>769</v>
      </c>
      <c r="T16" s="102" t="s">
        <v>770</v>
      </c>
      <c r="U16" s="102" t="s">
        <v>771</v>
      </c>
      <c r="V16" s="102" t="s">
        <v>799</v>
      </c>
      <c r="W16" s="102" t="s">
        <v>800</v>
      </c>
      <c r="X16" s="102" t="s">
        <v>801</v>
      </c>
      <c r="Y16" s="102" t="s">
        <v>802</v>
      </c>
      <c r="Z16" s="102" t="s">
        <v>803</v>
      </c>
      <c r="AA16" s="102" t="s">
        <v>804</v>
      </c>
      <c r="AB16" s="102" t="s">
        <v>775</v>
      </c>
      <c r="AC16" s="102" t="s">
        <v>776</v>
      </c>
      <c r="AD16" s="102" t="s">
        <v>777</v>
      </c>
      <c r="AE16" s="102" t="s">
        <v>778</v>
      </c>
      <c r="AF16" s="102" t="s">
        <v>779</v>
      </c>
      <c r="AG16" s="102" t="s">
        <v>780</v>
      </c>
      <c r="AH16" s="102" t="s">
        <v>781</v>
      </c>
      <c r="AI16" s="102" t="s">
        <v>782</v>
      </c>
      <c r="AJ16" s="102" t="s">
        <v>783</v>
      </c>
      <c r="AK16" s="102" t="s">
        <v>784</v>
      </c>
      <c r="AL16" s="102" t="s">
        <v>785</v>
      </c>
      <c r="AM16" s="102" t="s">
        <v>786</v>
      </c>
      <c r="AN16" s="102" t="s">
        <v>787</v>
      </c>
      <c r="AO16" s="102" t="s">
        <v>788</v>
      </c>
      <c r="AP16" s="102" t="s">
        <v>789</v>
      </c>
      <c r="AQ16" s="102" t="s">
        <v>790</v>
      </c>
      <c r="AR16" s="102" t="s">
        <v>763</v>
      </c>
      <c r="AS16" s="102" t="s">
        <v>807</v>
      </c>
    </row>
    <row r="17" spans="1:45" ht="29.15" customHeight="1" x14ac:dyDescent="0.35">
      <c r="A17" s="25" t="s">
        <v>94</v>
      </c>
      <c r="B17" s="134">
        <v>6</v>
      </c>
      <c r="C17" s="27" t="s">
        <v>89</v>
      </c>
      <c r="D17" s="8">
        <f>ROUNDUP(B17/B3,0)</f>
        <v>8</v>
      </c>
      <c r="E17" s="17" t="s">
        <v>418</v>
      </c>
      <c r="G17" s="8" t="s">
        <v>884</v>
      </c>
      <c r="H17" s="136" t="s">
        <v>805</v>
      </c>
      <c r="I17" s="136" t="s">
        <v>805</v>
      </c>
      <c r="J17" s="136">
        <v>25</v>
      </c>
      <c r="K17" s="136" t="s">
        <v>906</v>
      </c>
      <c r="L17" s="136">
        <v>8</v>
      </c>
      <c r="M17" s="136">
        <v>7</v>
      </c>
      <c r="N17" s="136">
        <v>2</v>
      </c>
      <c r="O17" s="136">
        <v>3</v>
      </c>
      <c r="P17" s="136">
        <v>4</v>
      </c>
      <c r="Q17" s="136">
        <v>5</v>
      </c>
      <c r="R17" s="136">
        <v>6</v>
      </c>
      <c r="S17" s="136">
        <v>27</v>
      </c>
      <c r="T17" s="136">
        <v>28</v>
      </c>
      <c r="U17" s="136">
        <v>29</v>
      </c>
      <c r="V17" s="136" t="s">
        <v>805</v>
      </c>
      <c r="W17" s="136" t="s">
        <v>805</v>
      </c>
      <c r="X17" s="136">
        <v>9</v>
      </c>
      <c r="Y17" s="136" t="s">
        <v>805</v>
      </c>
      <c r="Z17" s="136" t="s">
        <v>805</v>
      </c>
      <c r="AA17" s="136" t="s">
        <v>805</v>
      </c>
      <c r="AB17" s="136">
        <v>10</v>
      </c>
      <c r="AC17" s="136">
        <v>11</v>
      </c>
      <c r="AD17" s="136">
        <v>12</v>
      </c>
      <c r="AE17" s="136">
        <v>13</v>
      </c>
      <c r="AF17" s="136">
        <v>14</v>
      </c>
      <c r="AG17" s="136">
        <v>15</v>
      </c>
      <c r="AH17" s="136">
        <v>16</v>
      </c>
      <c r="AI17" s="136">
        <v>17</v>
      </c>
      <c r="AJ17" s="136">
        <v>18</v>
      </c>
      <c r="AK17" s="136">
        <v>19</v>
      </c>
      <c r="AL17" s="136">
        <v>20</v>
      </c>
      <c r="AM17" s="136">
        <v>21</v>
      </c>
      <c r="AN17" s="136">
        <v>22</v>
      </c>
      <c r="AO17" s="136">
        <v>23</v>
      </c>
      <c r="AP17" s="136">
        <v>24</v>
      </c>
      <c r="AQ17" s="136" t="s">
        <v>906</v>
      </c>
      <c r="AR17" s="136" t="s">
        <v>805</v>
      </c>
      <c r="AS17" s="136" t="s">
        <v>805</v>
      </c>
    </row>
    <row r="18" spans="1:45" ht="18.649999999999999" customHeight="1" x14ac:dyDescent="0.35">
      <c r="A18" s="25" t="s">
        <v>95</v>
      </c>
      <c r="B18" s="134">
        <v>7.5</v>
      </c>
      <c r="C18" s="27" t="s">
        <v>89</v>
      </c>
      <c r="D18" s="8">
        <f>ROUNDUP(B18/B3,0)</f>
        <v>10</v>
      </c>
      <c r="E18" s="17" t="s">
        <v>407</v>
      </c>
      <c r="H18" s="108" t="s">
        <v>806</v>
      </c>
      <c r="I18" s="108"/>
      <c r="J18" s="108"/>
      <c r="K18" s="108"/>
      <c r="L18" s="108"/>
      <c r="M18" s="108"/>
      <c r="N18" s="108"/>
    </row>
    <row r="19" spans="1:45" ht="18.649999999999999" customHeight="1" x14ac:dyDescent="0.35">
      <c r="A19" s="25" t="s">
        <v>96</v>
      </c>
      <c r="B19" s="134">
        <v>45.5</v>
      </c>
      <c r="C19" s="27" t="s">
        <v>89</v>
      </c>
      <c r="D19" s="8">
        <f>ROUNDUP(B19/B3,0)</f>
        <v>61</v>
      </c>
      <c r="E19" s="17" t="s">
        <v>407</v>
      </c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</row>
    <row r="20" spans="1:45" s="15" customFormat="1" ht="17.149999999999999" customHeight="1" x14ac:dyDescent="0.35">
      <c r="A20" s="25" t="s">
        <v>99</v>
      </c>
      <c r="B20" s="134">
        <v>6.75</v>
      </c>
      <c r="C20" s="29" t="s">
        <v>89</v>
      </c>
      <c r="D20" s="8">
        <f>ROUNDUP(B20/B3,0)</f>
        <v>9</v>
      </c>
      <c r="E20" s="17" t="s">
        <v>365</v>
      </c>
    </row>
    <row r="21" spans="1:45" x14ac:dyDescent="0.35">
      <c r="A21" s="25" t="s">
        <v>101</v>
      </c>
      <c r="B21" s="134">
        <v>13.5</v>
      </c>
      <c r="C21" s="27" t="s">
        <v>89</v>
      </c>
      <c r="D21" s="8">
        <f>ROUNDUP(B21/B3,0)</f>
        <v>18</v>
      </c>
      <c r="E21" s="17" t="s">
        <v>407</v>
      </c>
    </row>
    <row r="22" spans="1:45" x14ac:dyDescent="0.35">
      <c r="A22" s="27" t="s">
        <v>105</v>
      </c>
      <c r="B22" s="134">
        <v>18</v>
      </c>
      <c r="C22" s="27" t="s">
        <v>299</v>
      </c>
      <c r="D22" s="8">
        <f>B22</f>
        <v>18</v>
      </c>
      <c r="E22" s="17" t="s">
        <v>431</v>
      </c>
    </row>
    <row r="23" spans="1:45" x14ac:dyDescent="0.35">
      <c r="A23" s="24" t="s">
        <v>106</v>
      </c>
      <c r="B23" s="134">
        <v>18</v>
      </c>
      <c r="C23" s="27" t="s">
        <v>299</v>
      </c>
      <c r="D23" s="8">
        <f>B23</f>
        <v>18</v>
      </c>
      <c r="E23" s="17" t="s">
        <v>431</v>
      </c>
    </row>
    <row r="24" spans="1:45" x14ac:dyDescent="0.35">
      <c r="A24" s="24" t="s">
        <v>107</v>
      </c>
      <c r="B24" s="134">
        <v>8</v>
      </c>
      <c r="C24" s="27" t="s">
        <v>299</v>
      </c>
      <c r="D24" s="8">
        <f>B24</f>
        <v>8</v>
      </c>
      <c r="E24" s="17" t="s">
        <v>432</v>
      </c>
    </row>
    <row r="25" spans="1:45" x14ac:dyDescent="0.35">
      <c r="A25" s="24" t="s">
        <v>108</v>
      </c>
      <c r="B25" s="134">
        <v>0</v>
      </c>
      <c r="C25" s="27" t="s">
        <v>299</v>
      </c>
      <c r="D25" s="8">
        <f>B25</f>
        <v>0</v>
      </c>
      <c r="E25" s="17" t="s">
        <v>366</v>
      </c>
    </row>
    <row r="26" spans="1:45" x14ac:dyDescent="0.35">
      <c r="A26" s="24" t="s">
        <v>109</v>
      </c>
      <c r="B26" s="134">
        <v>0</v>
      </c>
      <c r="C26" s="27" t="s">
        <v>299</v>
      </c>
      <c r="D26" s="8">
        <f>B26</f>
        <v>0</v>
      </c>
      <c r="E26" s="17" t="s">
        <v>431</v>
      </c>
    </row>
    <row r="27" spans="1:45" x14ac:dyDescent="0.35">
      <c r="A27" s="20" t="s">
        <v>369</v>
      </c>
      <c r="B27" s="134">
        <v>10</v>
      </c>
      <c r="C27" s="8" t="s">
        <v>89</v>
      </c>
      <c r="D27" s="8">
        <f>ROUNDUP(B27/B3,0)</f>
        <v>14</v>
      </c>
      <c r="E27" s="17" t="s">
        <v>370</v>
      </c>
    </row>
    <row r="28" spans="1:45" ht="16.5" customHeight="1" x14ac:dyDescent="0.35">
      <c r="A28" s="20" t="s">
        <v>146</v>
      </c>
      <c r="B28" s="134">
        <v>3.75</v>
      </c>
      <c r="C28" s="8" t="s">
        <v>89</v>
      </c>
      <c r="D28" s="8">
        <f>ROUNDUP(B28/B3,0)</f>
        <v>5</v>
      </c>
      <c r="E28" s="17" t="s">
        <v>372</v>
      </c>
    </row>
    <row r="29" spans="1:45" x14ac:dyDescent="0.35">
      <c r="A29" s="20" t="s">
        <v>151</v>
      </c>
      <c r="B29" s="134">
        <v>5</v>
      </c>
      <c r="C29" s="8" t="s">
        <v>89</v>
      </c>
      <c r="D29" s="8">
        <f>ROUNDUP(B29/B3,0)</f>
        <v>7</v>
      </c>
      <c r="E29" s="17" t="s">
        <v>407</v>
      </c>
    </row>
    <row r="30" spans="1:45" ht="58" x14ac:dyDescent="0.35">
      <c r="A30" s="20" t="s">
        <v>193</v>
      </c>
      <c r="B30" s="134">
        <v>30</v>
      </c>
      <c r="C30" s="8" t="s">
        <v>89</v>
      </c>
      <c r="D30" s="8">
        <f>ROUNDUP(B30/B3,0)</f>
        <v>40</v>
      </c>
      <c r="E30" s="17" t="s">
        <v>419</v>
      </c>
    </row>
    <row r="31" spans="1:45" x14ac:dyDescent="0.35">
      <c r="A31" s="20" t="s">
        <v>208</v>
      </c>
      <c r="B31" s="134">
        <v>0.17</v>
      </c>
      <c r="C31" s="8" t="s">
        <v>89</v>
      </c>
      <c r="D31" s="8">
        <f>ROUNDUP(B31/B3,0)</f>
        <v>1</v>
      </c>
      <c r="E31" s="17" t="s">
        <v>407</v>
      </c>
    </row>
    <row r="32" spans="1:45" ht="29" x14ac:dyDescent="0.35">
      <c r="A32" s="20" t="s">
        <v>210</v>
      </c>
      <c r="B32" s="134">
        <v>2</v>
      </c>
      <c r="C32" s="8" t="s">
        <v>299</v>
      </c>
      <c r="D32" s="8">
        <f t="shared" ref="D32:D37" si="0">B32</f>
        <v>2</v>
      </c>
      <c r="E32" s="17" t="s">
        <v>899</v>
      </c>
    </row>
    <row r="33" spans="1:5" ht="29" x14ac:dyDescent="0.35">
      <c r="A33" s="8" t="s">
        <v>209</v>
      </c>
      <c r="B33" s="134">
        <v>0</v>
      </c>
      <c r="C33" s="8" t="s">
        <v>299</v>
      </c>
      <c r="D33" s="8">
        <f t="shared" si="0"/>
        <v>0</v>
      </c>
      <c r="E33" s="17" t="s">
        <v>900</v>
      </c>
    </row>
    <row r="34" spans="1:5" x14ac:dyDescent="0.35">
      <c r="A34" s="8" t="s">
        <v>238</v>
      </c>
      <c r="B34" s="134">
        <v>1</v>
      </c>
      <c r="C34" s="8" t="s">
        <v>406</v>
      </c>
      <c r="D34" s="8">
        <f t="shared" si="0"/>
        <v>1</v>
      </c>
      <c r="E34" s="17" t="s">
        <v>393</v>
      </c>
    </row>
    <row r="35" spans="1:5" x14ac:dyDescent="0.35">
      <c r="A35" s="8" t="s">
        <v>241</v>
      </c>
      <c r="B35" s="134">
        <v>1</v>
      </c>
      <c r="C35" s="8" t="s">
        <v>406</v>
      </c>
      <c r="D35" s="8">
        <f t="shared" si="0"/>
        <v>1</v>
      </c>
      <c r="E35" s="17" t="s">
        <v>393</v>
      </c>
    </row>
    <row r="36" spans="1:5" x14ac:dyDescent="0.35">
      <c r="A36" s="8" t="s">
        <v>242</v>
      </c>
      <c r="B36" s="134">
        <v>0</v>
      </c>
      <c r="C36" s="8" t="s">
        <v>406</v>
      </c>
      <c r="D36" s="8">
        <f t="shared" si="0"/>
        <v>0</v>
      </c>
      <c r="E36" s="17" t="s">
        <v>394</v>
      </c>
    </row>
    <row r="37" spans="1:5" x14ac:dyDescent="0.35">
      <c r="A37" s="8" t="s">
        <v>250</v>
      </c>
      <c r="B37" s="134">
        <v>1</v>
      </c>
      <c r="C37" s="8" t="s">
        <v>416</v>
      </c>
      <c r="D37" s="8">
        <f t="shared" si="0"/>
        <v>1</v>
      </c>
      <c r="E37" s="8" t="s">
        <v>416</v>
      </c>
    </row>
    <row r="38" spans="1:5" x14ac:dyDescent="0.35">
      <c r="A38" s="8" t="s">
        <v>474</v>
      </c>
      <c r="B38" s="134">
        <v>5</v>
      </c>
      <c r="C38" s="8" t="s">
        <v>89</v>
      </c>
      <c r="D38" s="8">
        <f>ROUNDUP(B38/B3,0)</f>
        <v>7</v>
      </c>
      <c r="E38" s="18" t="s">
        <v>476</v>
      </c>
    </row>
    <row r="39" spans="1:5" x14ac:dyDescent="0.35">
      <c r="A39" s="8" t="s">
        <v>475</v>
      </c>
      <c r="B39" s="134">
        <v>10</v>
      </c>
      <c r="C39" s="8" t="s">
        <v>89</v>
      </c>
      <c r="D39" s="8">
        <f>ROUNDUP(B39/B3,0)</f>
        <v>14</v>
      </c>
      <c r="E39" s="18" t="s">
        <v>476</v>
      </c>
    </row>
    <row r="40" spans="1:5" x14ac:dyDescent="0.35">
      <c r="A40" s="8" t="s">
        <v>482</v>
      </c>
      <c r="B40" s="134">
        <v>250000</v>
      </c>
      <c r="C40" s="8" t="s">
        <v>89</v>
      </c>
      <c r="D40" s="8">
        <f>ROUNDUP(B40/B3,0)</f>
        <v>333334</v>
      </c>
      <c r="E40" s="18" t="s">
        <v>476</v>
      </c>
    </row>
    <row r="41" spans="1:5" x14ac:dyDescent="0.35">
      <c r="A41" s="8" t="s">
        <v>422</v>
      </c>
      <c r="B41" s="134">
        <v>0</v>
      </c>
      <c r="C41" s="8" t="s">
        <v>299</v>
      </c>
      <c r="D41" s="8">
        <f>B41</f>
        <v>0</v>
      </c>
      <c r="E41" s="32" t="s">
        <v>303</v>
      </c>
    </row>
    <row r="42" spans="1:5" x14ac:dyDescent="0.35">
      <c r="A42" s="8" t="s">
        <v>423</v>
      </c>
      <c r="B42" s="134">
        <v>0</v>
      </c>
      <c r="C42" s="8" t="s">
        <v>89</v>
      </c>
      <c r="D42" s="8">
        <f>ROUNDUP(B42/B3,0)</f>
        <v>0</v>
      </c>
      <c r="E42" s="32" t="s">
        <v>303</v>
      </c>
    </row>
    <row r="43" spans="1:5" x14ac:dyDescent="0.35">
      <c r="A43" s="20" t="s">
        <v>150</v>
      </c>
      <c r="B43" s="134">
        <v>0</v>
      </c>
      <c r="C43" s="8" t="s">
        <v>89</v>
      </c>
      <c r="D43" s="8">
        <f>ROUNDUP(B43/B3,0)</f>
        <v>0</v>
      </c>
      <c r="E43" s="32" t="s">
        <v>303</v>
      </c>
    </row>
    <row r="44" spans="1:5" ht="17.149999999999999" customHeight="1" x14ac:dyDescent="0.35">
      <c r="A44" s="25" t="s">
        <v>98</v>
      </c>
      <c r="B44" s="134">
        <v>0</v>
      </c>
      <c r="C44" s="29" t="s">
        <v>89</v>
      </c>
      <c r="D44" s="8">
        <f>ROUNDUP(B44/B3,0)</f>
        <v>0</v>
      </c>
      <c r="E44" s="32" t="s">
        <v>303</v>
      </c>
    </row>
    <row r="45" spans="1:5" ht="17.149999999999999" customHeight="1" x14ac:dyDescent="0.35">
      <c r="A45" s="25" t="s">
        <v>100</v>
      </c>
      <c r="B45" s="134">
        <v>0</v>
      </c>
      <c r="C45" s="27" t="s">
        <v>89</v>
      </c>
      <c r="D45" s="8">
        <f>ROUNDUP(B45/B3,0)</f>
        <v>0</v>
      </c>
      <c r="E45" s="32" t="s">
        <v>303</v>
      </c>
    </row>
    <row r="46" spans="1:5" x14ac:dyDescent="0.35">
      <c r="A46" s="25" t="s">
        <v>252</v>
      </c>
      <c r="B46" s="134">
        <v>0</v>
      </c>
      <c r="C46" s="27" t="s">
        <v>89</v>
      </c>
      <c r="D46" s="8">
        <f>ROUNDDOWN(B46/B3,0)</f>
        <v>0</v>
      </c>
      <c r="E46" s="32" t="s">
        <v>303</v>
      </c>
    </row>
    <row r="47" spans="1:5" x14ac:dyDescent="0.35">
      <c r="A47" s="25" t="s">
        <v>254</v>
      </c>
      <c r="B47" s="134">
        <v>0</v>
      </c>
      <c r="C47" s="27" t="s">
        <v>89</v>
      </c>
      <c r="D47" s="8">
        <f>ROUNDUP(B47/B3,0)</f>
        <v>0</v>
      </c>
      <c r="E47" s="32" t="s">
        <v>303</v>
      </c>
    </row>
    <row r="48" spans="1:5" x14ac:dyDescent="0.35">
      <c r="A48" s="25" t="s">
        <v>255</v>
      </c>
      <c r="B48" s="134">
        <v>0</v>
      </c>
      <c r="C48" s="27" t="s">
        <v>89</v>
      </c>
      <c r="D48" s="8">
        <f>ROUNDUP(B48/B3,0)</f>
        <v>0</v>
      </c>
      <c r="E48" s="32" t="s">
        <v>303</v>
      </c>
    </row>
    <row r="49" spans="1:5" x14ac:dyDescent="0.35">
      <c r="A49" s="25" t="s">
        <v>90</v>
      </c>
      <c r="B49" s="134">
        <v>0</v>
      </c>
      <c r="C49" s="27" t="s">
        <v>89</v>
      </c>
      <c r="D49" s="8">
        <f>ROUNDUP(B49/B3,0)</f>
        <v>0</v>
      </c>
      <c r="E49" s="32" t="s">
        <v>303</v>
      </c>
    </row>
    <row r="50" spans="1:5" x14ac:dyDescent="0.35">
      <c r="A50" s="25" t="s">
        <v>310</v>
      </c>
      <c r="B50" s="134">
        <v>0</v>
      </c>
      <c r="C50" s="27" t="s">
        <v>89</v>
      </c>
      <c r="D50" s="8">
        <f>ROUNDUP(B50/B3,0)</f>
        <v>0</v>
      </c>
      <c r="E50" s="32" t="s">
        <v>303</v>
      </c>
    </row>
    <row r="51" spans="1:5" ht="29" x14ac:dyDescent="0.35">
      <c r="A51" s="26" t="s">
        <v>97</v>
      </c>
      <c r="B51" s="134">
        <v>0</v>
      </c>
      <c r="C51" s="26" t="s">
        <v>89</v>
      </c>
      <c r="D51" s="8">
        <f>ROUNDUP(B51/B3,0)</f>
        <v>0</v>
      </c>
      <c r="E51" s="32" t="s">
        <v>412</v>
      </c>
    </row>
    <row r="52" spans="1:5" x14ac:dyDescent="0.35">
      <c r="A52" s="24" t="s">
        <v>348</v>
      </c>
      <c r="B52" s="134">
        <v>0</v>
      </c>
      <c r="C52" s="27" t="s">
        <v>299</v>
      </c>
      <c r="D52" s="8">
        <f>B52</f>
        <v>0</v>
      </c>
      <c r="E52" s="32" t="s">
        <v>303</v>
      </c>
    </row>
    <row r="53" spans="1:5" x14ac:dyDescent="0.35">
      <c r="A53" s="24" t="s">
        <v>102</v>
      </c>
      <c r="B53" s="134">
        <v>0</v>
      </c>
      <c r="C53" s="27" t="s">
        <v>89</v>
      </c>
      <c r="D53" s="8">
        <f>ROUNDUP(B53/B3,0)</f>
        <v>0</v>
      </c>
      <c r="E53" s="32" t="s">
        <v>303</v>
      </c>
    </row>
    <row r="54" spans="1:5" x14ac:dyDescent="0.35">
      <c r="A54" s="25" t="s">
        <v>103</v>
      </c>
      <c r="B54" s="134">
        <v>0</v>
      </c>
      <c r="C54" s="27" t="s">
        <v>89</v>
      </c>
      <c r="D54" s="8">
        <f>ROUNDUP(B54/B3,0)</f>
        <v>0</v>
      </c>
      <c r="E54" s="32" t="s">
        <v>303</v>
      </c>
    </row>
    <row r="55" spans="1:5" x14ac:dyDescent="0.35">
      <c r="A55" s="25" t="s">
        <v>297</v>
      </c>
      <c r="B55" s="134">
        <v>0</v>
      </c>
      <c r="C55" s="27" t="s">
        <v>89</v>
      </c>
      <c r="D55" s="8">
        <f>ROUNDUP(B55/B3,0)</f>
        <v>0</v>
      </c>
      <c r="E55" s="32" t="s">
        <v>303</v>
      </c>
    </row>
    <row r="56" spans="1:5" x14ac:dyDescent="0.35">
      <c r="A56" s="20" t="s">
        <v>170</v>
      </c>
      <c r="B56" s="134">
        <v>0</v>
      </c>
      <c r="C56" s="8" t="s">
        <v>89</v>
      </c>
      <c r="D56" s="8">
        <f>ROUNDUP(B56/B3,0)</f>
        <v>0</v>
      </c>
      <c r="E56" s="32" t="s">
        <v>303</v>
      </c>
    </row>
    <row r="57" spans="1:5" x14ac:dyDescent="0.35">
      <c r="A57" s="20" t="s">
        <v>171</v>
      </c>
      <c r="B57" s="134">
        <v>0</v>
      </c>
      <c r="C57" s="8" t="s">
        <v>89</v>
      </c>
      <c r="D57" s="8">
        <f>ROUNDUP(B57/B3,0)</f>
        <v>0</v>
      </c>
      <c r="E57" s="32" t="s">
        <v>303</v>
      </c>
    </row>
    <row r="58" spans="1:5" x14ac:dyDescent="0.35">
      <c r="A58" s="8" t="s">
        <v>212</v>
      </c>
      <c r="B58" s="134">
        <v>0</v>
      </c>
      <c r="C58" s="8" t="s">
        <v>299</v>
      </c>
      <c r="D58" s="8">
        <f>B58</f>
        <v>0</v>
      </c>
      <c r="E58" s="32" t="s">
        <v>303</v>
      </c>
    </row>
    <row r="59" spans="1:5" x14ac:dyDescent="0.35">
      <c r="A59" s="8" t="s">
        <v>176</v>
      </c>
      <c r="B59" s="134">
        <v>0</v>
      </c>
      <c r="C59" s="8" t="s">
        <v>299</v>
      </c>
      <c r="D59" s="8">
        <f>B59</f>
        <v>0</v>
      </c>
      <c r="E59" s="32" t="s">
        <v>303</v>
      </c>
    </row>
    <row r="60" spans="1:5" x14ac:dyDescent="0.35">
      <c r="A60" s="20" t="s">
        <v>411</v>
      </c>
      <c r="B60" s="134">
        <v>0</v>
      </c>
      <c r="C60" s="8" t="s">
        <v>89</v>
      </c>
      <c r="D60" s="8">
        <f>ROUNDUP(B60/B3,0)</f>
        <v>0</v>
      </c>
      <c r="E60" s="32" t="s">
        <v>303</v>
      </c>
    </row>
    <row r="61" spans="1:5" x14ac:dyDescent="0.35">
      <c r="A61" s="8" t="s">
        <v>183</v>
      </c>
      <c r="B61" s="134">
        <v>0</v>
      </c>
      <c r="C61" s="8" t="s">
        <v>299</v>
      </c>
      <c r="D61" s="8">
        <f>B61</f>
        <v>0</v>
      </c>
      <c r="E61" s="32" t="s">
        <v>303</v>
      </c>
    </row>
    <row r="62" spans="1:5" x14ac:dyDescent="0.35">
      <c r="A62" s="20" t="s">
        <v>186</v>
      </c>
      <c r="B62" s="134">
        <v>0</v>
      </c>
      <c r="C62" s="20" t="s">
        <v>89</v>
      </c>
      <c r="D62" s="8">
        <f>ROUNDUP(B62/B3,0)</f>
        <v>0</v>
      </c>
      <c r="E62" s="32" t="s">
        <v>303</v>
      </c>
    </row>
    <row r="63" spans="1:5" x14ac:dyDescent="0.35">
      <c r="A63" s="20" t="s">
        <v>190</v>
      </c>
      <c r="B63" s="134">
        <v>0</v>
      </c>
      <c r="C63" s="20" t="s">
        <v>89</v>
      </c>
      <c r="D63" s="8">
        <f>ROUNDUP(B63/B3,0)</f>
        <v>0</v>
      </c>
      <c r="E63" s="32" t="s">
        <v>303</v>
      </c>
    </row>
    <row r="64" spans="1:5" ht="29" x14ac:dyDescent="0.35">
      <c r="A64" s="20" t="s">
        <v>380</v>
      </c>
      <c r="B64" s="134">
        <v>0</v>
      </c>
      <c r="C64" s="8" t="s">
        <v>89</v>
      </c>
      <c r="D64" s="8">
        <f>ROUNDUP(B64/B3,0)</f>
        <v>0</v>
      </c>
      <c r="E64" s="32" t="s">
        <v>382</v>
      </c>
    </row>
    <row r="65" spans="1:5" x14ac:dyDescent="0.35">
      <c r="A65" s="20" t="s">
        <v>383</v>
      </c>
      <c r="B65" s="134">
        <v>0</v>
      </c>
      <c r="C65" s="8" t="s">
        <v>89</v>
      </c>
      <c r="D65" s="8">
        <f>ROUNDUP(B65/B3,0)</f>
        <v>0</v>
      </c>
      <c r="E65" s="32" t="s">
        <v>303</v>
      </c>
    </row>
    <row r="66" spans="1:5" x14ac:dyDescent="0.35">
      <c r="A66" s="8" t="s">
        <v>249</v>
      </c>
      <c r="B66" s="134">
        <v>0</v>
      </c>
      <c r="C66" s="8" t="s">
        <v>89</v>
      </c>
      <c r="D66" s="8">
        <f>ROUNDUP(B66/B3,0)</f>
        <v>0</v>
      </c>
      <c r="E66" s="32" t="s">
        <v>303</v>
      </c>
    </row>
    <row r="67" spans="1:5" ht="29" x14ac:dyDescent="0.35">
      <c r="A67" s="8" t="s">
        <v>233</v>
      </c>
      <c r="B67" s="134">
        <v>0</v>
      </c>
      <c r="C67" s="8" t="s">
        <v>406</v>
      </c>
      <c r="D67" s="8">
        <f>B67</f>
        <v>0</v>
      </c>
      <c r="E67" s="32" t="s">
        <v>395</v>
      </c>
    </row>
    <row r="68" spans="1:5" x14ac:dyDescent="0.35">
      <c r="A68" s="8" t="s">
        <v>631</v>
      </c>
      <c r="B68" s="134">
        <v>1024</v>
      </c>
      <c r="C68" s="8" t="s">
        <v>299</v>
      </c>
      <c r="D68" s="8">
        <f>B68</f>
        <v>1024</v>
      </c>
      <c r="E68" s="31" t="s">
        <v>305</v>
      </c>
    </row>
    <row r="69" spans="1:5" x14ac:dyDescent="0.35">
      <c r="A69" s="8" t="s">
        <v>424</v>
      </c>
      <c r="B69" s="134">
        <v>7</v>
      </c>
      <c r="C69" s="8" t="s">
        <v>299</v>
      </c>
      <c r="D69" s="8">
        <f>B69</f>
        <v>7</v>
      </c>
      <c r="E69" s="31" t="s">
        <v>305</v>
      </c>
    </row>
    <row r="70" spans="1:5" x14ac:dyDescent="0.35">
      <c r="A70" s="8" t="s">
        <v>425</v>
      </c>
      <c r="B70" s="134">
        <v>9</v>
      </c>
      <c r="C70" s="8" t="s">
        <v>299</v>
      </c>
      <c r="D70" s="8">
        <f>B70</f>
        <v>9</v>
      </c>
      <c r="E70" s="31" t="s">
        <v>305</v>
      </c>
    </row>
    <row r="71" spans="1:5" x14ac:dyDescent="0.35">
      <c r="A71" s="20" t="s">
        <v>243</v>
      </c>
      <c r="B71" s="134">
        <v>0</v>
      </c>
      <c r="C71" s="8" t="s">
        <v>406</v>
      </c>
      <c r="D71" s="8">
        <f>B71</f>
        <v>0</v>
      </c>
      <c r="E71" s="31" t="s">
        <v>305</v>
      </c>
    </row>
    <row r="72" spans="1:5" x14ac:dyDescent="0.35">
      <c r="A72" s="25" t="s">
        <v>378</v>
      </c>
      <c r="B72" s="134">
        <v>260</v>
      </c>
      <c r="C72" s="27" t="s">
        <v>89</v>
      </c>
      <c r="D72" s="8">
        <f>ROUNDUP(B72/B3,0)</f>
        <v>347</v>
      </c>
      <c r="E72" s="31" t="s">
        <v>305</v>
      </c>
    </row>
    <row r="73" spans="1:5" ht="29" x14ac:dyDescent="0.35">
      <c r="A73" s="25" t="s">
        <v>309</v>
      </c>
      <c r="B73" s="134">
        <v>11</v>
      </c>
      <c r="C73" s="27" t="s">
        <v>299</v>
      </c>
      <c r="D73" s="8">
        <f>B73</f>
        <v>11</v>
      </c>
      <c r="E73" s="31" t="s">
        <v>429</v>
      </c>
    </row>
    <row r="74" spans="1:5" ht="29" x14ac:dyDescent="0.35">
      <c r="A74" s="25" t="s">
        <v>311</v>
      </c>
      <c r="B74" s="134">
        <v>15</v>
      </c>
      <c r="C74" s="27" t="s">
        <v>89</v>
      </c>
      <c r="D74" s="8">
        <f>ROUNDUP(B74/B3,0)</f>
        <v>20</v>
      </c>
      <c r="E74" s="31" t="s">
        <v>389</v>
      </c>
    </row>
    <row r="75" spans="1:5" x14ac:dyDescent="0.35">
      <c r="A75" s="25" t="s">
        <v>307</v>
      </c>
      <c r="B75" s="134">
        <v>13.5</v>
      </c>
      <c r="C75" s="27" t="s">
        <v>89</v>
      </c>
      <c r="D75" s="8">
        <f>ROUNDUP(B75/B3,0)</f>
        <v>18</v>
      </c>
      <c r="E75" s="31" t="s">
        <v>305</v>
      </c>
    </row>
    <row r="76" spans="1:5" x14ac:dyDescent="0.35">
      <c r="A76" s="24" t="s">
        <v>308</v>
      </c>
      <c r="B76" s="134">
        <v>18</v>
      </c>
      <c r="C76" s="27" t="s">
        <v>299</v>
      </c>
      <c r="D76" s="8">
        <f>B76</f>
        <v>18</v>
      </c>
      <c r="E76" s="31" t="s">
        <v>305</v>
      </c>
    </row>
    <row r="77" spans="1:5" x14ac:dyDescent="0.35">
      <c r="A77" s="20" t="s">
        <v>379</v>
      </c>
      <c r="B77" s="134">
        <v>512</v>
      </c>
      <c r="C77" s="8" t="s">
        <v>299</v>
      </c>
      <c r="D77" s="8">
        <f>B77</f>
        <v>512</v>
      </c>
      <c r="E77" s="31" t="s">
        <v>305</v>
      </c>
    </row>
    <row r="78" spans="1:5" x14ac:dyDescent="0.35">
      <c r="A78" s="20" t="s">
        <v>384</v>
      </c>
      <c r="B78" s="134">
        <v>128</v>
      </c>
      <c r="C78" s="8" t="s">
        <v>299</v>
      </c>
      <c r="D78" s="8">
        <f>B78</f>
        <v>128</v>
      </c>
      <c r="E78" s="31" t="s">
        <v>305</v>
      </c>
    </row>
    <row r="79" spans="1:5" x14ac:dyDescent="0.35">
      <c r="A79" s="20" t="s">
        <v>319</v>
      </c>
      <c r="B79" s="134">
        <v>270</v>
      </c>
      <c r="C79" s="8" t="s">
        <v>89</v>
      </c>
      <c r="D79" s="8">
        <f>ROUNDUP(B79/B3,0)</f>
        <v>360</v>
      </c>
      <c r="E79" s="31" t="s">
        <v>305</v>
      </c>
    </row>
    <row r="80" spans="1:5" x14ac:dyDescent="0.35">
      <c r="A80" s="20" t="s">
        <v>316</v>
      </c>
      <c r="B80" s="134">
        <v>120</v>
      </c>
      <c r="C80" s="8" t="s">
        <v>89</v>
      </c>
      <c r="D80" s="8">
        <f>ROUNDUP(B80/B3,0)</f>
        <v>160</v>
      </c>
      <c r="E80" s="31" t="s">
        <v>305</v>
      </c>
    </row>
    <row r="81" spans="1:5" x14ac:dyDescent="0.35">
      <c r="A81" s="20" t="s">
        <v>317</v>
      </c>
      <c r="B81" s="134">
        <v>120</v>
      </c>
      <c r="C81" s="8" t="s">
        <v>89</v>
      </c>
      <c r="D81" s="8">
        <f>ROUNDUP(B81/B3,0)</f>
        <v>160</v>
      </c>
      <c r="E81" s="31" t="s">
        <v>305</v>
      </c>
    </row>
    <row r="82" spans="1:5" x14ac:dyDescent="0.35">
      <c r="A82" s="8" t="s">
        <v>318</v>
      </c>
      <c r="B82" s="134">
        <v>854</v>
      </c>
      <c r="C82" s="8" t="s">
        <v>299</v>
      </c>
      <c r="D82" s="8">
        <f t="shared" ref="D82:D91" si="1">B82</f>
        <v>854</v>
      </c>
      <c r="E82" s="31" t="s">
        <v>305</v>
      </c>
    </row>
    <row r="83" spans="1:5" x14ac:dyDescent="0.35">
      <c r="A83" s="8" t="s">
        <v>304</v>
      </c>
      <c r="B83" s="134">
        <v>0</v>
      </c>
      <c r="C83" s="8" t="s">
        <v>299</v>
      </c>
      <c r="D83" s="8">
        <f t="shared" si="1"/>
        <v>0</v>
      </c>
      <c r="E83" s="31" t="s">
        <v>305</v>
      </c>
    </row>
    <row r="84" spans="1:5" ht="27" customHeight="1" x14ac:dyDescent="0.35">
      <c r="A84" s="8" t="s">
        <v>326</v>
      </c>
      <c r="B84" s="134">
        <v>4</v>
      </c>
      <c r="C84" s="8" t="s">
        <v>299</v>
      </c>
      <c r="D84" s="8">
        <f t="shared" si="1"/>
        <v>4</v>
      </c>
      <c r="E84" s="31" t="s">
        <v>392</v>
      </c>
    </row>
    <row r="85" spans="1:5" x14ac:dyDescent="0.35">
      <c r="A85" s="8" t="s">
        <v>327</v>
      </c>
      <c r="B85" s="134">
        <v>7</v>
      </c>
      <c r="C85" s="8" t="s">
        <v>299</v>
      </c>
      <c r="D85" s="8">
        <f t="shared" si="1"/>
        <v>7</v>
      </c>
      <c r="E85" s="31" t="s">
        <v>305</v>
      </c>
    </row>
    <row r="86" spans="1:5" ht="28" customHeight="1" x14ac:dyDescent="0.35">
      <c r="A86" s="8" t="s">
        <v>328</v>
      </c>
      <c r="B86" s="134">
        <v>4</v>
      </c>
      <c r="C86" s="8" t="s">
        <v>299</v>
      </c>
      <c r="D86" s="8">
        <f t="shared" si="1"/>
        <v>4</v>
      </c>
      <c r="E86" s="31" t="s">
        <v>373</v>
      </c>
    </row>
    <row r="87" spans="1:5" ht="46.5" customHeight="1" x14ac:dyDescent="0.35">
      <c r="A87" s="8" t="s">
        <v>333</v>
      </c>
      <c r="B87" s="134">
        <v>24</v>
      </c>
      <c r="C87" s="8" t="s">
        <v>299</v>
      </c>
      <c r="D87" s="8">
        <f t="shared" si="1"/>
        <v>24</v>
      </c>
      <c r="E87" s="31" t="s">
        <v>459</v>
      </c>
    </row>
    <row r="88" spans="1:5" ht="43.5" customHeight="1" x14ac:dyDescent="0.35">
      <c r="A88" s="8" t="s">
        <v>334</v>
      </c>
      <c r="B88" s="134">
        <v>20</v>
      </c>
      <c r="C88" s="8" t="s">
        <v>299</v>
      </c>
      <c r="D88" s="8">
        <f t="shared" si="1"/>
        <v>20</v>
      </c>
      <c r="E88" s="31" t="s">
        <v>460</v>
      </c>
    </row>
    <row r="89" spans="1:5" ht="60.65" customHeight="1" x14ac:dyDescent="0.35">
      <c r="A89" s="8" t="s">
        <v>335</v>
      </c>
      <c r="B89" s="134">
        <v>2</v>
      </c>
      <c r="C89" s="8" t="s">
        <v>299</v>
      </c>
      <c r="D89" s="8">
        <f t="shared" si="1"/>
        <v>2</v>
      </c>
      <c r="E89" s="31" t="s">
        <v>461</v>
      </c>
    </row>
    <row r="90" spans="1:5" ht="58.5" customHeight="1" x14ac:dyDescent="0.35">
      <c r="A90" s="8" t="s">
        <v>336</v>
      </c>
      <c r="B90" s="134">
        <v>2</v>
      </c>
      <c r="C90" s="8" t="s">
        <v>299</v>
      </c>
      <c r="D90" s="8">
        <f t="shared" si="1"/>
        <v>2</v>
      </c>
      <c r="E90" s="31" t="s">
        <v>461</v>
      </c>
    </row>
    <row r="91" spans="1:5" x14ac:dyDescent="0.35">
      <c r="A91" s="8" t="s">
        <v>342</v>
      </c>
      <c r="B91" s="134">
        <v>1214</v>
      </c>
      <c r="C91" s="8" t="s">
        <v>299</v>
      </c>
      <c r="D91" s="8">
        <f t="shared" si="1"/>
        <v>1214</v>
      </c>
      <c r="E91" s="31" t="s">
        <v>305</v>
      </c>
    </row>
    <row r="92" spans="1:5" x14ac:dyDescent="0.35">
      <c r="A92" s="20" t="s">
        <v>343</v>
      </c>
      <c r="B92" s="134">
        <v>12</v>
      </c>
      <c r="C92" s="8" t="s">
        <v>89</v>
      </c>
      <c r="D92" s="8">
        <f>ROUNDUP(B92/B3,0)</f>
        <v>16</v>
      </c>
      <c r="E92" s="31" t="s">
        <v>305</v>
      </c>
    </row>
    <row r="93" spans="1:5" x14ac:dyDescent="0.35">
      <c r="A93" s="20" t="s">
        <v>344</v>
      </c>
      <c r="B93" s="134">
        <v>1</v>
      </c>
      <c r="C93" s="20" t="s">
        <v>299</v>
      </c>
      <c r="D93" s="8">
        <f t="shared" ref="D93:D102" si="2">B93</f>
        <v>1</v>
      </c>
      <c r="E93" s="31" t="s">
        <v>305</v>
      </c>
    </row>
    <row r="94" spans="1:5" x14ac:dyDescent="0.35">
      <c r="A94" s="8" t="s">
        <v>345</v>
      </c>
      <c r="B94" s="134">
        <v>24</v>
      </c>
      <c r="C94" s="8" t="s">
        <v>299</v>
      </c>
      <c r="D94" s="8">
        <f t="shared" si="2"/>
        <v>24</v>
      </c>
      <c r="E94" s="31" t="s">
        <v>305</v>
      </c>
    </row>
    <row r="95" spans="1:5" ht="43.5" x14ac:dyDescent="0.35">
      <c r="A95" s="8" t="s">
        <v>346</v>
      </c>
      <c r="B95" s="134">
        <v>20</v>
      </c>
      <c r="C95" s="8" t="s">
        <v>299</v>
      </c>
      <c r="D95" s="8">
        <f t="shared" si="2"/>
        <v>20</v>
      </c>
      <c r="E95" s="31" t="s">
        <v>462</v>
      </c>
    </row>
    <row r="96" spans="1:5" x14ac:dyDescent="0.35">
      <c r="A96" s="20" t="s">
        <v>347</v>
      </c>
      <c r="B96" s="134">
        <v>14</v>
      </c>
      <c r="C96" s="20" t="s">
        <v>299</v>
      </c>
      <c r="D96" s="8">
        <f t="shared" si="2"/>
        <v>14</v>
      </c>
      <c r="E96" s="31" t="s">
        <v>305</v>
      </c>
    </row>
    <row r="97" spans="1:5" ht="29" x14ac:dyDescent="0.35">
      <c r="A97" s="8" t="s">
        <v>322</v>
      </c>
      <c r="B97" s="134">
        <v>1</v>
      </c>
      <c r="C97" s="8" t="s">
        <v>406</v>
      </c>
      <c r="D97" s="8">
        <f>B97</f>
        <v>1</v>
      </c>
      <c r="E97" s="31" t="s">
        <v>396</v>
      </c>
    </row>
    <row r="98" spans="1:5" x14ac:dyDescent="0.35">
      <c r="A98" s="25" t="s">
        <v>301</v>
      </c>
      <c r="B98" s="134">
        <v>0</v>
      </c>
      <c r="C98" s="27" t="s">
        <v>89</v>
      </c>
      <c r="D98" s="8">
        <f>ROUNDUP(B98/B3,0)</f>
        <v>0</v>
      </c>
      <c r="E98" s="33" t="s">
        <v>302</v>
      </c>
    </row>
    <row r="99" spans="1:5" ht="29" x14ac:dyDescent="0.35">
      <c r="A99" s="20" t="s">
        <v>354</v>
      </c>
      <c r="B99" s="134">
        <v>0</v>
      </c>
      <c r="C99" s="20" t="s">
        <v>299</v>
      </c>
      <c r="D99" s="8">
        <f t="shared" si="2"/>
        <v>0</v>
      </c>
      <c r="E99" s="33" t="s">
        <v>464</v>
      </c>
    </row>
    <row r="100" spans="1:5" x14ac:dyDescent="0.35">
      <c r="A100" s="20" t="s">
        <v>398</v>
      </c>
      <c r="B100" s="134">
        <v>0</v>
      </c>
      <c r="C100" s="20" t="s">
        <v>299</v>
      </c>
      <c r="D100" s="8">
        <f t="shared" si="2"/>
        <v>0</v>
      </c>
      <c r="E100" s="33" t="s">
        <v>376</v>
      </c>
    </row>
    <row r="101" spans="1:5" x14ac:dyDescent="0.35">
      <c r="A101" s="20" t="s">
        <v>399</v>
      </c>
      <c r="B101" s="134">
        <v>0</v>
      </c>
      <c r="C101" s="20" t="s">
        <v>299</v>
      </c>
      <c r="D101" s="8">
        <f t="shared" si="2"/>
        <v>0</v>
      </c>
      <c r="E101" s="33" t="s">
        <v>376</v>
      </c>
    </row>
    <row r="102" spans="1:5" x14ac:dyDescent="0.35">
      <c r="A102" s="20" t="s">
        <v>400</v>
      </c>
      <c r="B102" s="134">
        <v>0</v>
      </c>
      <c r="C102" s="20" t="s">
        <v>299</v>
      </c>
      <c r="D102" s="8">
        <f t="shared" si="2"/>
        <v>0</v>
      </c>
      <c r="E102" s="34" t="s">
        <v>376</v>
      </c>
    </row>
    <row r="103" spans="1:5" ht="29" x14ac:dyDescent="0.35">
      <c r="A103" s="62" t="s">
        <v>401</v>
      </c>
      <c r="B103" s="21"/>
      <c r="C103" s="21"/>
      <c r="D103" s="21"/>
      <c r="E103" s="38"/>
    </row>
    <row r="104" spans="1:5" x14ac:dyDescent="0.35">
      <c r="A104" s="62" t="s">
        <v>367</v>
      </c>
      <c r="B104" s="62" t="s">
        <v>368</v>
      </c>
      <c r="C104" s="62" t="s">
        <v>88</v>
      </c>
      <c r="D104" s="30"/>
      <c r="E104" s="62" t="s">
        <v>286</v>
      </c>
    </row>
    <row r="105" spans="1:5" ht="29" x14ac:dyDescent="0.35">
      <c r="A105" s="39" t="s">
        <v>397</v>
      </c>
      <c r="B105" s="136">
        <v>0</v>
      </c>
      <c r="C105" s="27" t="s">
        <v>299</v>
      </c>
      <c r="D105" s="8">
        <f t="shared" ref="D105:D111" si="3">B105</f>
        <v>0</v>
      </c>
      <c r="E105" s="31" t="s">
        <v>889</v>
      </c>
    </row>
    <row r="106" spans="1:5" x14ac:dyDescent="0.35">
      <c r="A106" s="8" t="s">
        <v>112</v>
      </c>
      <c r="B106" s="137">
        <v>2</v>
      </c>
      <c r="C106" s="27" t="s">
        <v>299</v>
      </c>
      <c r="D106" s="8">
        <f t="shared" si="3"/>
        <v>2</v>
      </c>
      <c r="E106" s="17" t="s">
        <v>421</v>
      </c>
    </row>
    <row r="107" spans="1:5" x14ac:dyDescent="0.35">
      <c r="A107" s="8" t="s">
        <v>116</v>
      </c>
      <c r="B107" s="137">
        <v>48</v>
      </c>
      <c r="C107" s="8" t="s">
        <v>117</v>
      </c>
      <c r="D107" s="8">
        <f t="shared" si="3"/>
        <v>48</v>
      </c>
      <c r="E107" s="17" t="s">
        <v>421</v>
      </c>
    </row>
    <row r="108" spans="1:5" x14ac:dyDescent="0.35">
      <c r="A108" s="8" t="s">
        <v>118</v>
      </c>
      <c r="B108" s="137">
        <v>24</v>
      </c>
      <c r="C108" s="8" t="s">
        <v>117</v>
      </c>
      <c r="D108" s="8">
        <f t="shared" si="3"/>
        <v>24</v>
      </c>
      <c r="E108" s="17" t="s">
        <v>421</v>
      </c>
    </row>
    <row r="109" spans="1:5" ht="29.15" customHeight="1" x14ac:dyDescent="0.35">
      <c r="A109" s="8" t="s">
        <v>364</v>
      </c>
      <c r="B109" s="137">
        <v>8</v>
      </c>
      <c r="C109" s="8" t="s">
        <v>117</v>
      </c>
      <c r="D109" s="8">
        <f t="shared" si="3"/>
        <v>8</v>
      </c>
      <c r="E109" s="31" t="s">
        <v>430</v>
      </c>
    </row>
    <row r="110" spans="1:5" ht="87" customHeight="1" x14ac:dyDescent="0.35">
      <c r="A110" s="8" t="s">
        <v>263</v>
      </c>
      <c r="B110" s="137">
        <v>0</v>
      </c>
      <c r="C110" s="27" t="s">
        <v>406</v>
      </c>
      <c r="D110" s="8">
        <f t="shared" si="3"/>
        <v>0</v>
      </c>
      <c r="E110" s="17" t="s">
        <v>388</v>
      </c>
    </row>
    <row r="111" spans="1:5" ht="29" x14ac:dyDescent="0.35">
      <c r="A111" s="8" t="s">
        <v>264</v>
      </c>
      <c r="B111" s="137">
        <v>0</v>
      </c>
      <c r="C111" s="27" t="s">
        <v>406</v>
      </c>
      <c r="D111" s="8">
        <f t="shared" si="3"/>
        <v>0</v>
      </c>
      <c r="E111" s="17" t="s">
        <v>413</v>
      </c>
    </row>
    <row r="112" spans="1:5" ht="54.75" customHeight="1" x14ac:dyDescent="0.35">
      <c r="A112" s="8" t="s">
        <v>278</v>
      </c>
      <c r="B112" s="137">
        <v>1</v>
      </c>
      <c r="C112" s="27" t="s">
        <v>406</v>
      </c>
      <c r="D112" s="8">
        <f>B112</f>
        <v>1</v>
      </c>
      <c r="E112" s="17" t="s">
        <v>901</v>
      </c>
    </row>
    <row r="113" spans="1:5" ht="90.75" customHeight="1" x14ac:dyDescent="0.35">
      <c r="A113" s="8" t="s">
        <v>279</v>
      </c>
      <c r="B113" s="137">
        <v>1</v>
      </c>
      <c r="C113" s="27" t="s">
        <v>406</v>
      </c>
      <c r="D113" s="8">
        <f>B113</f>
        <v>1</v>
      </c>
      <c r="E113" s="17" t="s">
        <v>415</v>
      </c>
    </row>
    <row r="114" spans="1:5" ht="60" customHeight="1" x14ac:dyDescent="0.35">
      <c r="A114" s="35" t="s">
        <v>280</v>
      </c>
      <c r="B114" s="137">
        <v>0</v>
      </c>
      <c r="C114" s="27" t="s">
        <v>406</v>
      </c>
      <c r="D114" s="35">
        <f>B114</f>
        <v>0</v>
      </c>
      <c r="E114" s="17" t="s">
        <v>414</v>
      </c>
    </row>
    <row r="115" spans="1:5" x14ac:dyDescent="0.35">
      <c r="A115" s="20" t="s">
        <v>121</v>
      </c>
      <c r="B115" s="137">
        <v>2</v>
      </c>
      <c r="C115" s="26" t="s">
        <v>299</v>
      </c>
      <c r="D115" s="20">
        <f>B115</f>
        <v>2</v>
      </c>
      <c r="E115" s="118"/>
    </row>
    <row r="116" spans="1:5" x14ac:dyDescent="0.35">
      <c r="A116" s="20" t="s">
        <v>122</v>
      </c>
      <c r="B116" s="137">
        <v>1</v>
      </c>
      <c r="C116" s="20"/>
      <c r="D116" s="20">
        <f t="shared" ref="D116:D121" si="4">B116</f>
        <v>1</v>
      </c>
      <c r="E116" s="118" t="s">
        <v>890</v>
      </c>
    </row>
    <row r="117" spans="1:5" x14ac:dyDescent="0.35">
      <c r="A117" s="20" t="s">
        <v>123</v>
      </c>
      <c r="B117" s="137">
        <v>1</v>
      </c>
      <c r="C117" s="20"/>
      <c r="D117" s="20">
        <f t="shared" si="4"/>
        <v>1</v>
      </c>
      <c r="E117" s="118" t="s">
        <v>891</v>
      </c>
    </row>
    <row r="118" spans="1:5" ht="29" x14ac:dyDescent="0.35">
      <c r="A118" s="20" t="s">
        <v>124</v>
      </c>
      <c r="B118" s="137">
        <v>0</v>
      </c>
      <c r="C118" s="20"/>
      <c r="D118" s="20">
        <f t="shared" si="4"/>
        <v>0</v>
      </c>
      <c r="E118" s="118" t="s">
        <v>892</v>
      </c>
    </row>
    <row r="119" spans="1:5" x14ac:dyDescent="0.35">
      <c r="A119" s="20" t="s">
        <v>125</v>
      </c>
      <c r="B119" s="137">
        <v>1</v>
      </c>
      <c r="C119" s="20"/>
      <c r="D119" s="20">
        <f t="shared" si="4"/>
        <v>1</v>
      </c>
      <c r="E119" s="118" t="s">
        <v>895</v>
      </c>
    </row>
    <row r="120" spans="1:5" x14ac:dyDescent="0.35">
      <c r="A120" s="20" t="s">
        <v>420</v>
      </c>
      <c r="B120" s="137">
        <v>0.5</v>
      </c>
      <c r="C120" s="20" t="s">
        <v>299</v>
      </c>
      <c r="D120" s="20">
        <f>B120</f>
        <v>0.5</v>
      </c>
      <c r="E120" s="118" t="s">
        <v>893</v>
      </c>
    </row>
    <row r="121" spans="1:5" x14ac:dyDescent="0.35">
      <c r="A121" s="20" t="s">
        <v>126</v>
      </c>
      <c r="B121" s="137">
        <v>3</v>
      </c>
      <c r="C121" s="26" t="s">
        <v>299</v>
      </c>
      <c r="D121" s="20">
        <f t="shared" si="4"/>
        <v>3</v>
      </c>
      <c r="E121" s="118" t="s">
        <v>894</v>
      </c>
    </row>
    <row r="122" spans="1:5" x14ac:dyDescent="0.35">
      <c r="A122" s="119" t="s">
        <v>110</v>
      </c>
      <c r="B122" s="122">
        <f>(B115/2)+(B116*2)+3</f>
        <v>6</v>
      </c>
      <c r="C122" s="120" t="s">
        <v>299</v>
      </c>
      <c r="D122" s="119">
        <f t="shared" ref="D122:D131" si="5">B122</f>
        <v>6</v>
      </c>
      <c r="E122" s="121" t="s">
        <v>896</v>
      </c>
    </row>
    <row r="123" spans="1:5" x14ac:dyDescent="0.35">
      <c r="A123" s="119" t="s">
        <v>111</v>
      </c>
      <c r="B123" s="122">
        <f>B130-5+(2*(B116-B117))</f>
        <v>13</v>
      </c>
      <c r="C123" s="120" t="s">
        <v>299</v>
      </c>
      <c r="D123" s="119">
        <f t="shared" si="5"/>
        <v>13</v>
      </c>
      <c r="E123" s="121" t="s">
        <v>896</v>
      </c>
    </row>
    <row r="124" spans="1:5" x14ac:dyDescent="0.35">
      <c r="A124" s="119" t="s">
        <v>113</v>
      </c>
      <c r="B124" s="122">
        <f>B131-5+(2*(B116-B119))</f>
        <v>13.5</v>
      </c>
      <c r="C124" s="120" t="s">
        <v>299</v>
      </c>
      <c r="D124" s="119">
        <f t="shared" si="5"/>
        <v>13.5</v>
      </c>
      <c r="E124" s="121" t="s">
        <v>896</v>
      </c>
    </row>
    <row r="125" spans="1:5" x14ac:dyDescent="0.35">
      <c r="A125" s="119" t="s">
        <v>114</v>
      </c>
      <c r="B125" s="122">
        <f>B122+6+(B24/2)+B121</f>
        <v>19</v>
      </c>
      <c r="C125" s="120" t="s">
        <v>299</v>
      </c>
      <c r="D125" s="119">
        <f t="shared" si="5"/>
        <v>19</v>
      </c>
      <c r="E125" s="121" t="s">
        <v>896</v>
      </c>
    </row>
    <row r="126" spans="1:5" x14ac:dyDescent="0.35">
      <c r="A126" s="119" t="s">
        <v>115</v>
      </c>
      <c r="B126" s="122">
        <f>B122-2</f>
        <v>4</v>
      </c>
      <c r="C126" s="120" t="s">
        <v>299</v>
      </c>
      <c r="D126" s="119">
        <f t="shared" si="5"/>
        <v>4</v>
      </c>
      <c r="E126" s="121" t="s">
        <v>896</v>
      </c>
    </row>
    <row r="127" spans="1:5" x14ac:dyDescent="0.35">
      <c r="A127" s="119" t="s">
        <v>276</v>
      </c>
      <c r="B127" s="122">
        <f>B122-2</f>
        <v>4</v>
      </c>
      <c r="C127" s="120" t="s">
        <v>299</v>
      </c>
      <c r="D127" s="119">
        <f t="shared" si="5"/>
        <v>4</v>
      </c>
      <c r="E127" s="121" t="s">
        <v>896</v>
      </c>
    </row>
    <row r="128" spans="1:5" x14ac:dyDescent="0.35">
      <c r="A128" s="119" t="s">
        <v>119</v>
      </c>
      <c r="B128" s="122">
        <f>B130-5+(2*(B116-B117))</f>
        <v>13</v>
      </c>
      <c r="C128" s="120" t="s">
        <v>299</v>
      </c>
      <c r="D128" s="119">
        <f t="shared" si="5"/>
        <v>13</v>
      </c>
      <c r="E128" s="121" t="s">
        <v>896</v>
      </c>
    </row>
    <row r="129" spans="1:5" x14ac:dyDescent="0.35">
      <c r="A129" s="119" t="s">
        <v>120</v>
      </c>
      <c r="B129" s="122">
        <f>B131-5+(2*(B116-B119))</f>
        <v>13.5</v>
      </c>
      <c r="C129" s="120" t="s">
        <v>299</v>
      </c>
      <c r="D129" s="119">
        <f t="shared" si="5"/>
        <v>13.5</v>
      </c>
      <c r="E129" s="121" t="s">
        <v>896</v>
      </c>
    </row>
    <row r="130" spans="1:5" x14ac:dyDescent="0.35">
      <c r="A130" s="119" t="s">
        <v>105</v>
      </c>
      <c r="B130" s="122">
        <f>B22+B25+B26+B118</f>
        <v>18</v>
      </c>
      <c r="C130" s="120" t="s">
        <v>299</v>
      </c>
      <c r="D130" s="119">
        <f t="shared" si="5"/>
        <v>18</v>
      </c>
      <c r="E130" s="121" t="s">
        <v>896</v>
      </c>
    </row>
    <row r="131" spans="1:5" x14ac:dyDescent="0.35">
      <c r="A131" s="119" t="s">
        <v>106</v>
      </c>
      <c r="B131" s="122">
        <f>B23+B25+B26+B118+B120</f>
        <v>18.5</v>
      </c>
      <c r="C131" s="119" t="s">
        <v>299</v>
      </c>
      <c r="D131" s="119">
        <f t="shared" si="5"/>
        <v>18.5</v>
      </c>
      <c r="E131" s="121" t="s">
        <v>896</v>
      </c>
    </row>
  </sheetData>
  <sheetProtection selectLockedCell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D192595A-D484-4AAF-8AC7-90F2B99403AC}">
          <x14:formula1>
            <xm:f>'[uMCTL2_3.70a_Register_Map - DDR4 and LPDDR4_v3.0 - ddr4_2666.xlsx]LU'!#REF!</xm:f>
          </x14:formula1>
          <xm:sqref>H13</xm:sqref>
        </x14:dataValidation>
        <x14:dataValidation type="list" allowBlank="1" showInputMessage="1" showErrorMessage="1" xr:uid="{84DDCCFC-1828-4AE5-BA95-7C6F5A62E490}">
          <x14:formula1>
            <xm:f>'[uMCTL2_3.70a_Register_Map - DDR4 and LPDDR4_v3.0 - ddr4_2666.xlsx]LU'!#REF!</xm:f>
          </x14:formula1>
          <xm:sqref>H14:H15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selection activeCell="D2" sqref="D2:D50"/>
    </sheetView>
  </sheetViews>
  <sheetFormatPr defaultRowHeight="14.5" x14ac:dyDescent="0.35"/>
  <cols>
    <col min="1" max="1" width="21.1796875" customWidth="1"/>
    <col min="2" max="2" width="20.26953125" customWidth="1"/>
    <col min="3" max="3" width="43.1796875" customWidth="1"/>
    <col min="4" max="4" width="44.81640625" customWidth="1"/>
    <col min="5" max="5" width="27.54296875" style="81" customWidth="1"/>
  </cols>
  <sheetData>
    <row r="1" spans="1:7" x14ac:dyDescent="0.35">
      <c r="A1" s="13" t="s">
        <v>627</v>
      </c>
      <c r="B1" s="13" t="s">
        <v>628</v>
      </c>
      <c r="C1" s="13" t="s">
        <v>629</v>
      </c>
      <c r="D1" s="95" t="s">
        <v>630</v>
      </c>
      <c r="E1" s="96"/>
    </row>
    <row r="2" spans="1:7" s="90" customFormat="1" ht="29" x14ac:dyDescent="0.35">
      <c r="A2" s="86" t="s">
        <v>643</v>
      </c>
      <c r="B2" s="85"/>
      <c r="C2" s="87"/>
      <c r="D2" s="138" t="s">
        <v>642</v>
      </c>
      <c r="E2" s="97"/>
    </row>
    <row r="3" spans="1:7" x14ac:dyDescent="0.35">
      <c r="A3" s="8" t="s">
        <v>618</v>
      </c>
      <c r="B3" s="8" t="s">
        <v>639</v>
      </c>
      <c r="C3" s="8" t="s">
        <v>645</v>
      </c>
      <c r="D3" s="139" t="s">
        <v>651</v>
      </c>
      <c r="F3" s="71"/>
    </row>
    <row r="4" spans="1:7" x14ac:dyDescent="0.35">
      <c r="A4" s="8"/>
      <c r="B4" s="8"/>
      <c r="C4" s="8" t="s">
        <v>653</v>
      </c>
      <c r="D4" s="139" t="s">
        <v>654</v>
      </c>
      <c r="F4" s="68"/>
      <c r="G4" s="71"/>
    </row>
    <row r="5" spans="1:7" x14ac:dyDescent="0.35">
      <c r="A5" s="8"/>
      <c r="B5" s="8"/>
      <c r="C5" s="8" t="s">
        <v>656</v>
      </c>
      <c r="D5" s="139" t="s">
        <v>657</v>
      </c>
      <c r="F5" s="68"/>
      <c r="G5" s="70"/>
    </row>
    <row r="6" spans="1:7" x14ac:dyDescent="0.35">
      <c r="A6" s="8"/>
      <c r="B6" s="8"/>
      <c r="C6" s="8" t="s">
        <v>659</v>
      </c>
      <c r="D6" s="139">
        <v>18</v>
      </c>
      <c r="F6" s="68"/>
    </row>
    <row r="7" spans="1:7" x14ac:dyDescent="0.35">
      <c r="A7" s="8"/>
      <c r="B7" s="8"/>
      <c r="C7" s="8" t="s">
        <v>662</v>
      </c>
      <c r="D7" s="139" t="s">
        <v>663</v>
      </c>
      <c r="F7" s="67"/>
    </row>
    <row r="8" spans="1:7" x14ac:dyDescent="0.35">
      <c r="A8" s="8"/>
      <c r="B8" s="8"/>
      <c r="C8" s="8" t="s">
        <v>664</v>
      </c>
      <c r="D8" s="139" t="s">
        <v>665</v>
      </c>
      <c r="F8" s="67"/>
    </row>
    <row r="9" spans="1:7" x14ac:dyDescent="0.35">
      <c r="A9" s="8" t="s">
        <v>619</v>
      </c>
      <c r="B9" s="8" t="s">
        <v>493</v>
      </c>
      <c r="C9" s="8" t="s">
        <v>689</v>
      </c>
      <c r="D9" s="139" t="s">
        <v>692</v>
      </c>
      <c r="F9" s="67"/>
    </row>
    <row r="10" spans="1:7" x14ac:dyDescent="0.35">
      <c r="A10" s="8"/>
      <c r="B10" s="8"/>
      <c r="C10" s="8" t="s">
        <v>690</v>
      </c>
      <c r="D10" s="139" t="s">
        <v>672</v>
      </c>
      <c r="F10" s="67"/>
    </row>
    <row r="11" spans="1:7" x14ac:dyDescent="0.35">
      <c r="A11" s="8"/>
      <c r="B11" s="8"/>
      <c r="C11" s="8" t="s">
        <v>691</v>
      </c>
      <c r="D11" s="139" t="s">
        <v>534</v>
      </c>
      <c r="F11" s="67"/>
    </row>
    <row r="12" spans="1:7" x14ac:dyDescent="0.35">
      <c r="A12" s="8"/>
      <c r="B12" s="8"/>
      <c r="C12" s="8" t="s">
        <v>669</v>
      </c>
      <c r="D12" s="139" t="s">
        <v>674</v>
      </c>
    </row>
    <row r="13" spans="1:7" x14ac:dyDescent="0.35">
      <c r="A13" s="8"/>
      <c r="B13" s="8"/>
      <c r="C13" s="8" t="s">
        <v>670</v>
      </c>
      <c r="D13" s="139" t="s">
        <v>677</v>
      </c>
    </row>
    <row r="14" spans="1:7" x14ac:dyDescent="0.35">
      <c r="A14" s="8"/>
      <c r="B14" s="8"/>
      <c r="C14" s="8" t="s">
        <v>671</v>
      </c>
      <c r="D14" s="139" t="s">
        <v>673</v>
      </c>
    </row>
    <row r="15" spans="1:7" x14ac:dyDescent="0.35">
      <c r="A15" s="8" t="s">
        <v>620</v>
      </c>
      <c r="B15" s="8" t="s">
        <v>508</v>
      </c>
      <c r="C15" s="8" t="s">
        <v>678</v>
      </c>
      <c r="D15" s="139" t="s">
        <v>672</v>
      </c>
    </row>
    <row r="16" spans="1:7" x14ac:dyDescent="0.35">
      <c r="A16" s="8"/>
      <c r="B16" s="8"/>
      <c r="C16" s="8" t="s">
        <v>679</v>
      </c>
      <c r="D16" s="139" t="s">
        <v>533</v>
      </c>
    </row>
    <row r="17" spans="1:4" ht="29" x14ac:dyDescent="0.35">
      <c r="A17" s="8"/>
      <c r="B17" s="8"/>
      <c r="C17" s="17" t="s">
        <v>688</v>
      </c>
      <c r="D17" s="140" t="s">
        <v>684</v>
      </c>
    </row>
    <row r="18" spans="1:4" x14ac:dyDescent="0.35">
      <c r="A18" s="8"/>
      <c r="B18" s="8"/>
      <c r="C18" s="8" t="s">
        <v>681</v>
      </c>
      <c r="D18" s="139">
        <v>18</v>
      </c>
    </row>
    <row r="19" spans="1:4" x14ac:dyDescent="0.35">
      <c r="A19" s="8" t="s">
        <v>621</v>
      </c>
      <c r="B19" s="8" t="s">
        <v>523</v>
      </c>
      <c r="C19" s="8" t="s">
        <v>695</v>
      </c>
      <c r="D19" s="139" t="s">
        <v>703</v>
      </c>
    </row>
    <row r="20" spans="1:4" x14ac:dyDescent="0.35">
      <c r="A20" s="8"/>
      <c r="B20" s="8"/>
      <c r="C20" s="8" t="s">
        <v>696</v>
      </c>
      <c r="D20" s="139" t="s">
        <v>707</v>
      </c>
    </row>
    <row r="21" spans="1:4" x14ac:dyDescent="0.35">
      <c r="A21" s="8"/>
      <c r="B21" s="8"/>
      <c r="C21" s="17" t="s">
        <v>697</v>
      </c>
      <c r="D21" s="139" t="s">
        <v>657</v>
      </c>
    </row>
    <row r="22" spans="1:4" x14ac:dyDescent="0.35">
      <c r="A22" s="8"/>
      <c r="B22" s="8"/>
      <c r="C22" s="8" t="s">
        <v>698</v>
      </c>
      <c r="D22" s="139" t="s">
        <v>672</v>
      </c>
    </row>
    <row r="23" spans="1:4" x14ac:dyDescent="0.35">
      <c r="A23" s="8"/>
      <c r="B23" s="8"/>
      <c r="C23" s="8" t="s">
        <v>699</v>
      </c>
      <c r="D23" s="139" t="s">
        <v>672</v>
      </c>
    </row>
    <row r="24" spans="1:4" x14ac:dyDescent="0.35">
      <c r="A24" s="8"/>
      <c r="B24" s="8"/>
      <c r="C24" s="8" t="s">
        <v>700</v>
      </c>
      <c r="D24" s="139" t="s">
        <v>714</v>
      </c>
    </row>
    <row r="25" spans="1:4" x14ac:dyDescent="0.35">
      <c r="A25" s="8"/>
      <c r="B25" s="8"/>
      <c r="C25" s="8" t="s">
        <v>701</v>
      </c>
      <c r="D25" s="139" t="s">
        <v>657</v>
      </c>
    </row>
    <row r="26" spans="1:4" x14ac:dyDescent="0.35">
      <c r="A26" s="8"/>
      <c r="B26" s="8"/>
      <c r="C26" s="8" t="s">
        <v>702</v>
      </c>
      <c r="D26" s="139" t="s">
        <v>717</v>
      </c>
    </row>
    <row r="27" spans="1:4" x14ac:dyDescent="0.35">
      <c r="A27" s="8" t="s">
        <v>622</v>
      </c>
      <c r="B27" s="20" t="s">
        <v>638</v>
      </c>
      <c r="C27" s="8" t="s">
        <v>721</v>
      </c>
      <c r="D27" s="139" t="s">
        <v>672</v>
      </c>
    </row>
    <row r="28" spans="1:4" x14ac:dyDescent="0.35">
      <c r="A28" s="8"/>
      <c r="B28" s="8"/>
      <c r="C28" s="8" t="s">
        <v>722</v>
      </c>
      <c r="D28" s="139" t="s">
        <v>732</v>
      </c>
    </row>
    <row r="29" spans="1:4" x14ac:dyDescent="0.35">
      <c r="A29" s="8"/>
      <c r="B29" s="8"/>
      <c r="C29" s="8" t="s">
        <v>723</v>
      </c>
      <c r="D29" s="139" t="s">
        <v>732</v>
      </c>
    </row>
    <row r="30" spans="1:4" x14ac:dyDescent="0.35">
      <c r="A30" s="8"/>
      <c r="B30" s="8"/>
      <c r="C30" s="17" t="s">
        <v>737</v>
      </c>
      <c r="D30" s="139" t="s">
        <v>672</v>
      </c>
    </row>
    <row r="31" spans="1:4" x14ac:dyDescent="0.35">
      <c r="A31" s="1"/>
      <c r="B31" s="1"/>
      <c r="C31" s="100" t="s">
        <v>725</v>
      </c>
      <c r="D31" s="139" t="s">
        <v>672</v>
      </c>
    </row>
    <row r="32" spans="1:4" x14ac:dyDescent="0.35">
      <c r="A32" s="1"/>
      <c r="B32" s="1"/>
      <c r="C32" s="100" t="s">
        <v>726</v>
      </c>
      <c r="D32" s="139" t="s">
        <v>672</v>
      </c>
    </row>
    <row r="33" spans="1:4" x14ac:dyDescent="0.35">
      <c r="A33" s="1"/>
      <c r="B33" s="1"/>
      <c r="C33" s="100" t="s">
        <v>727</v>
      </c>
      <c r="D33" s="139" t="s">
        <v>672</v>
      </c>
    </row>
    <row r="34" spans="1:4" x14ac:dyDescent="0.35">
      <c r="A34" s="1"/>
      <c r="B34" s="1"/>
      <c r="C34" s="100" t="s">
        <v>728</v>
      </c>
      <c r="D34" s="139" t="s">
        <v>672</v>
      </c>
    </row>
    <row r="35" spans="1:4" x14ac:dyDescent="0.35">
      <c r="A35" s="1"/>
      <c r="B35" s="1"/>
      <c r="C35" s="44" t="s">
        <v>738</v>
      </c>
      <c r="D35" s="139" t="s">
        <v>672</v>
      </c>
    </row>
    <row r="36" spans="1:4" x14ac:dyDescent="0.35">
      <c r="A36" s="1"/>
      <c r="B36" s="1"/>
      <c r="C36" s="44" t="s">
        <v>735</v>
      </c>
      <c r="D36" s="139" t="s">
        <v>657</v>
      </c>
    </row>
    <row r="37" spans="1:4" x14ac:dyDescent="0.35">
      <c r="A37" s="1"/>
      <c r="B37" s="1"/>
      <c r="C37" s="100" t="s">
        <v>730</v>
      </c>
      <c r="D37" s="139" t="s">
        <v>672</v>
      </c>
    </row>
    <row r="38" spans="1:4" x14ac:dyDescent="0.35">
      <c r="A38" s="8" t="s">
        <v>623</v>
      </c>
      <c r="B38" s="8" t="s">
        <v>637</v>
      </c>
      <c r="C38" s="8" t="s">
        <v>739</v>
      </c>
      <c r="D38" s="139" t="s">
        <v>672</v>
      </c>
    </row>
    <row r="39" spans="1:4" x14ac:dyDescent="0.35">
      <c r="A39" s="8"/>
      <c r="B39" s="8"/>
      <c r="C39" s="8" t="s">
        <v>740</v>
      </c>
      <c r="D39" s="139" t="s">
        <v>673</v>
      </c>
    </row>
    <row r="40" spans="1:4" x14ac:dyDescent="0.35">
      <c r="A40" s="1"/>
      <c r="B40" s="1"/>
      <c r="C40" s="1" t="s">
        <v>741</v>
      </c>
      <c r="D40" s="139" t="s">
        <v>672</v>
      </c>
    </row>
    <row r="41" spans="1:4" x14ac:dyDescent="0.35">
      <c r="A41" s="1"/>
      <c r="B41" s="1"/>
      <c r="C41" s="1" t="s">
        <v>742</v>
      </c>
      <c r="D41" s="139" t="s">
        <v>672</v>
      </c>
    </row>
    <row r="42" spans="1:4" x14ac:dyDescent="0.35">
      <c r="A42" s="1"/>
      <c r="B42" s="1"/>
      <c r="C42" s="1" t="s">
        <v>743</v>
      </c>
      <c r="D42" s="139" t="s">
        <v>534</v>
      </c>
    </row>
    <row r="43" spans="1:4" x14ac:dyDescent="0.35">
      <c r="A43" s="1"/>
      <c r="B43" s="1"/>
      <c r="C43" s="44" t="s">
        <v>744</v>
      </c>
      <c r="D43" s="139" t="s">
        <v>748</v>
      </c>
    </row>
    <row r="44" spans="1:4" x14ac:dyDescent="0.35">
      <c r="A44" s="1"/>
      <c r="B44" s="1"/>
      <c r="C44" s="1" t="s">
        <v>745</v>
      </c>
      <c r="D44" s="139" t="s">
        <v>750</v>
      </c>
    </row>
    <row r="45" spans="1:4" x14ac:dyDescent="0.35">
      <c r="A45" s="1"/>
      <c r="B45" s="1"/>
      <c r="C45" s="1" t="s">
        <v>746</v>
      </c>
      <c r="D45" s="139" t="s">
        <v>750</v>
      </c>
    </row>
    <row r="46" spans="1:4" x14ac:dyDescent="0.35">
      <c r="A46" s="1"/>
      <c r="B46" s="1"/>
      <c r="C46" s="1" t="s">
        <v>747</v>
      </c>
      <c r="D46" s="139" t="s">
        <v>672</v>
      </c>
    </row>
    <row r="47" spans="1:4" x14ac:dyDescent="0.35">
      <c r="A47" s="8" t="s">
        <v>625</v>
      </c>
      <c r="B47" s="8" t="s">
        <v>636</v>
      </c>
      <c r="C47" s="8" t="s">
        <v>424</v>
      </c>
      <c r="D47" s="139">
        <v>7</v>
      </c>
    </row>
    <row r="48" spans="1:4" x14ac:dyDescent="0.35">
      <c r="A48" s="8"/>
      <c r="B48" s="8"/>
      <c r="C48" s="8" t="s">
        <v>752</v>
      </c>
      <c r="D48" s="139" t="s">
        <v>755</v>
      </c>
    </row>
    <row r="49" spans="1:4" x14ac:dyDescent="0.35">
      <c r="A49" s="1"/>
      <c r="B49" s="1"/>
      <c r="C49" s="1" t="s">
        <v>753</v>
      </c>
      <c r="D49" s="141" t="s">
        <v>757</v>
      </c>
    </row>
    <row r="50" spans="1:4" x14ac:dyDescent="0.35">
      <c r="A50" s="1"/>
      <c r="B50" s="1"/>
      <c r="C50" s="1" t="s">
        <v>754</v>
      </c>
      <c r="D50" s="141" t="s">
        <v>907</v>
      </c>
    </row>
  </sheetData>
  <sheetProtection selectLockedCells="1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9">
        <x14:dataValidation type="list" allowBlank="1" showInputMessage="1" showErrorMessage="1" xr:uid="{299BBC3F-A3DA-4116-BE2B-4539F8C33B0F}">
          <x14:formula1>
            <xm:f>'[uMCTL2_3.70a_Register_Map - DDR4 and LPDDR4_v3.0 - ddr4_2666.xlsx]LU'!#REF!</xm:f>
          </x14:formula1>
          <xm:sqref>D6</xm:sqref>
        </x14:dataValidation>
        <x14:dataValidation type="list" allowBlank="1" showInputMessage="1" showErrorMessage="1" xr:uid="{F7B506D1-31E7-43B1-8F50-D6B00BADA7A3}">
          <x14:formula1>
            <xm:f>'[uMCTL2_3.70a_Register_Map - DDR4 and LPDDR4_v3.0 - ddr4_2666.xlsx]LU'!#REF!</xm:f>
          </x14:formula1>
          <xm:sqref>D2</xm:sqref>
        </x14:dataValidation>
        <x14:dataValidation type="list" allowBlank="1" showInputMessage="1" showErrorMessage="1" xr:uid="{403C70FB-B41C-43C4-987C-18C0F0323251}">
          <x14:formula1>
            <xm:f>'[uMCTL2_3.70a_Register_Map - DDR4 and LPDDR4_v3.0 - ddr4_2666.xlsx]LU'!#REF!</xm:f>
          </x14:formula1>
          <xm:sqref>D50</xm:sqref>
        </x14:dataValidation>
        <x14:dataValidation type="list" allowBlank="1" showInputMessage="1" showErrorMessage="1" xr:uid="{D8EF8811-1BB3-410E-BA60-9E2A9AFF1456}">
          <x14:formula1>
            <xm:f>'[uMCTL2_3.70a_Register_Map - DDR4 and LPDDR4_v3.0 - ddr4_2666.xlsx]LU'!#REF!</xm:f>
          </x14:formula1>
          <xm:sqref>D49</xm:sqref>
        </x14:dataValidation>
        <x14:dataValidation type="list" allowBlank="1" showInputMessage="1" showErrorMessage="1" xr:uid="{25EAA2E4-28EE-4FD4-A4E8-0DF8FE4E9589}">
          <x14:formula1>
            <xm:f>'[uMCTL2_3.70a_Register_Map - DDR4 and LPDDR4_v3.0 - ddr4_2666.xlsx]LU'!#REF!</xm:f>
          </x14:formula1>
          <xm:sqref>D48</xm:sqref>
        </x14:dataValidation>
        <x14:dataValidation type="list" allowBlank="1" showInputMessage="1" showErrorMessage="1" xr:uid="{AEBE6453-CF8E-4C23-8710-0B4B216D728C}">
          <x14:formula1>
            <xm:f>'[uMCTL2_3.70a_Register_Map - DDR4 and LPDDR4_v3.0 - ddr4_2666.xlsx]LU'!#REF!</xm:f>
          </x14:formula1>
          <xm:sqref>D47</xm:sqref>
        </x14:dataValidation>
        <x14:dataValidation type="list" allowBlank="1" showInputMessage="1" showErrorMessage="1" xr:uid="{7F1FEF1C-D09C-4A1C-8D26-0D143966DDFF}">
          <x14:formula1>
            <xm:f>'[uMCTL2_3.70a_Register_Map - DDR4 and LPDDR4_v3.0 - ddr4_2666.xlsx]LU'!#REF!</xm:f>
          </x14:formula1>
          <xm:sqref>D46</xm:sqref>
        </x14:dataValidation>
        <x14:dataValidation type="list" allowBlank="1" showInputMessage="1" showErrorMessage="1" xr:uid="{1F5D9DE3-30C0-47B0-A659-167587EC7B2D}">
          <x14:formula1>
            <xm:f>'[uMCTL2_3.70a_Register_Map - DDR4 and LPDDR4_v3.0 - ddr4_2666.xlsx]LU'!#REF!</xm:f>
          </x14:formula1>
          <xm:sqref>D45</xm:sqref>
        </x14:dataValidation>
        <x14:dataValidation type="list" allowBlank="1" showInputMessage="1" showErrorMessage="1" xr:uid="{031ED6E9-9330-49A3-BFCF-875491985AE2}">
          <x14:formula1>
            <xm:f>'[uMCTL2_3.70a_Register_Map - DDR4 and LPDDR4_v3.0 - ddr4_2666.xlsx]LU'!#REF!</xm:f>
          </x14:formula1>
          <xm:sqref>D44</xm:sqref>
        </x14:dataValidation>
        <x14:dataValidation type="list" allowBlank="1" showInputMessage="1" showErrorMessage="1" xr:uid="{1439C420-B74F-455C-A5E2-682F0AF7620B}">
          <x14:formula1>
            <xm:f>'[uMCTL2_3.70a_Register_Map - DDR4 and LPDDR4_v3.0 - ddr4_2666.xlsx]LU'!#REF!</xm:f>
          </x14:formula1>
          <xm:sqref>D43</xm:sqref>
        </x14:dataValidation>
        <x14:dataValidation type="list" allowBlank="1" showInputMessage="1" showErrorMessage="1" xr:uid="{0FF49573-BD73-4176-AD36-AE97206EFC07}">
          <x14:formula1>
            <xm:f>'[uMCTL2_3.70a_Register_Map - DDR4 and LPDDR4_v3.0 - ddr4_2666.xlsx]LU'!#REF!</xm:f>
          </x14:formula1>
          <xm:sqref>D42</xm:sqref>
        </x14:dataValidation>
        <x14:dataValidation type="list" allowBlank="1" showInputMessage="1" showErrorMessage="1" xr:uid="{2C1F6079-5C65-4BFD-8D21-A9EB502DC7EF}">
          <x14:formula1>
            <xm:f>'[uMCTL2_3.70a_Register_Map - DDR4 and LPDDR4_v3.0 - ddr4_2666.xlsx]LU'!#REF!</xm:f>
          </x14:formula1>
          <xm:sqref>D41</xm:sqref>
        </x14:dataValidation>
        <x14:dataValidation type="list" allowBlank="1" showInputMessage="1" showErrorMessage="1" xr:uid="{F510BB84-05CD-48A0-BC20-32E7D3C8CBAA}">
          <x14:formula1>
            <xm:f>'[uMCTL2_3.70a_Register_Map - DDR4 and LPDDR4_v3.0 - ddr4_2666.xlsx]LU'!#REF!</xm:f>
          </x14:formula1>
          <xm:sqref>D40</xm:sqref>
        </x14:dataValidation>
        <x14:dataValidation type="list" allowBlank="1" showInputMessage="1" showErrorMessage="1" xr:uid="{8CE3D231-660A-470F-929B-6AD3AED0A34F}">
          <x14:formula1>
            <xm:f>'[uMCTL2_3.70a_Register_Map - DDR4 and LPDDR4_v3.0 - ddr4_2666.xlsx]LU'!#REF!</xm:f>
          </x14:formula1>
          <xm:sqref>D39</xm:sqref>
        </x14:dataValidation>
        <x14:dataValidation type="list" allowBlank="1" showInputMessage="1" showErrorMessage="1" xr:uid="{3997331A-3C98-4128-A83E-EE417EDBBEEA}">
          <x14:formula1>
            <xm:f>'[uMCTL2_3.70a_Register_Map - DDR4 and LPDDR4_v3.0 - ddr4_2666.xlsx]LU'!#REF!</xm:f>
          </x14:formula1>
          <xm:sqref>D38</xm:sqref>
        </x14:dataValidation>
        <x14:dataValidation type="list" allowBlank="1" showInputMessage="1" showErrorMessage="1" xr:uid="{22379FF0-8D29-4D4A-90D3-874B39FF4CFC}">
          <x14:formula1>
            <xm:f>'[uMCTL2_3.70a_Register_Map - DDR4 and LPDDR4_v3.0 - ddr4_2666.xlsx]LU'!#REF!</xm:f>
          </x14:formula1>
          <xm:sqref>D37</xm:sqref>
        </x14:dataValidation>
        <x14:dataValidation type="list" allowBlank="1" showInputMessage="1" showErrorMessage="1" xr:uid="{68C3C0FC-242E-4210-92F6-EF619D30BB11}">
          <x14:formula1>
            <xm:f>'[uMCTL2_3.70a_Register_Map - DDR4 and LPDDR4_v3.0 - ddr4_2666.xlsx]LU'!#REF!</xm:f>
          </x14:formula1>
          <xm:sqref>D36</xm:sqref>
        </x14:dataValidation>
        <x14:dataValidation type="list" allowBlank="1" showInputMessage="1" showErrorMessage="1" xr:uid="{389B2B21-B36D-40A6-AAD9-B0FDDB542314}">
          <x14:formula1>
            <xm:f>'[uMCTL2_3.70a_Register_Map - DDR4 and LPDDR4_v3.0 - ddr4_2666.xlsx]LU'!#REF!</xm:f>
          </x14:formula1>
          <xm:sqref>D35</xm:sqref>
        </x14:dataValidation>
        <x14:dataValidation type="list" allowBlank="1" showInputMessage="1" showErrorMessage="1" xr:uid="{7A31B9CC-F0B8-48D1-A29C-8DF367014DBC}">
          <x14:formula1>
            <xm:f>'[uMCTL2_3.70a_Register_Map - DDR4 and LPDDR4_v3.0 - ddr4_2666.xlsx]LU'!#REF!</xm:f>
          </x14:formula1>
          <xm:sqref>D34</xm:sqref>
        </x14:dataValidation>
        <x14:dataValidation type="list" allowBlank="1" showInputMessage="1" showErrorMessage="1" xr:uid="{836E0C9D-01BC-4718-A68B-824BFF5AC1EC}">
          <x14:formula1>
            <xm:f>'[uMCTL2_3.70a_Register_Map - DDR4 and LPDDR4_v3.0 - ddr4_2666.xlsx]LU'!#REF!</xm:f>
          </x14:formula1>
          <xm:sqref>D33</xm:sqref>
        </x14:dataValidation>
        <x14:dataValidation type="list" allowBlank="1" showInputMessage="1" showErrorMessage="1" xr:uid="{A228FBB5-A805-47A9-9D0E-7D5036E7D022}">
          <x14:formula1>
            <xm:f>'[uMCTL2_3.70a_Register_Map - DDR4 and LPDDR4_v3.0 - ddr4_2666.xlsx]LU'!#REF!</xm:f>
          </x14:formula1>
          <xm:sqref>D32</xm:sqref>
        </x14:dataValidation>
        <x14:dataValidation type="list" allowBlank="1" showInputMessage="1" showErrorMessage="1" xr:uid="{3B6DF05F-9A47-428F-BD47-246ED24089EF}">
          <x14:formula1>
            <xm:f>'[uMCTL2_3.70a_Register_Map - DDR4 and LPDDR4_v3.0 - ddr4_2666.xlsx]LU'!#REF!</xm:f>
          </x14:formula1>
          <xm:sqref>D31</xm:sqref>
        </x14:dataValidation>
        <x14:dataValidation type="list" allowBlank="1" showInputMessage="1" showErrorMessage="1" xr:uid="{7DB79211-C220-4D3D-BA16-73BA222410D2}">
          <x14:formula1>
            <xm:f>'[uMCTL2_3.70a_Register_Map - DDR4 and LPDDR4_v3.0 - ddr4_2666.xlsx]LU'!#REF!</xm:f>
          </x14:formula1>
          <xm:sqref>D30</xm:sqref>
        </x14:dataValidation>
        <x14:dataValidation type="list" allowBlank="1" showInputMessage="1" showErrorMessage="1" xr:uid="{E4B50872-2CC8-43D0-8CA9-478CC6CB77BF}">
          <x14:formula1>
            <xm:f>'[uMCTL2_3.70a_Register_Map - DDR4 and LPDDR4_v3.0 - ddr4_2666.xlsx]LU'!#REF!</xm:f>
          </x14:formula1>
          <xm:sqref>D29</xm:sqref>
        </x14:dataValidation>
        <x14:dataValidation type="list" allowBlank="1" showInputMessage="1" showErrorMessage="1" xr:uid="{AC25F7D3-81CF-4F40-A92C-0F72DE944F29}">
          <x14:formula1>
            <xm:f>'[uMCTL2_3.70a_Register_Map - DDR4 and LPDDR4_v3.0 - ddr4_2666.xlsx]LU'!#REF!</xm:f>
          </x14:formula1>
          <xm:sqref>D28</xm:sqref>
        </x14:dataValidation>
        <x14:dataValidation type="list" allowBlank="1" showInputMessage="1" showErrorMessage="1" xr:uid="{9A8841C7-14EA-4829-A6E2-38D6358E08CC}">
          <x14:formula1>
            <xm:f>'[uMCTL2_3.70a_Register_Map - DDR4 and LPDDR4_v3.0 - ddr4_2666.xlsx]LU'!#REF!</xm:f>
          </x14:formula1>
          <xm:sqref>D27</xm:sqref>
        </x14:dataValidation>
        <x14:dataValidation type="list" allowBlank="1" showInputMessage="1" showErrorMessage="1" xr:uid="{4CF19571-F508-4355-8CEF-3C601B58E03E}">
          <x14:formula1>
            <xm:f>'[uMCTL2_3.70a_Register_Map - DDR4 and LPDDR4_v3.0 - ddr4_2666.xlsx]LU'!#REF!</xm:f>
          </x14:formula1>
          <xm:sqref>D25</xm:sqref>
        </x14:dataValidation>
        <x14:dataValidation type="list" allowBlank="1" showInputMessage="1" showErrorMessage="1" xr:uid="{A742EB72-F0A7-4463-96E5-18564C89E328}">
          <x14:formula1>
            <xm:f>'[uMCTL2_3.70a_Register_Map - DDR4 and LPDDR4_v3.0 - ddr4_2666.xlsx]LU'!#REF!</xm:f>
          </x14:formula1>
          <xm:sqref>D21</xm:sqref>
        </x14:dataValidation>
        <x14:dataValidation type="list" allowBlank="1" showInputMessage="1" showErrorMessage="1" xr:uid="{078E5DC1-B930-4327-AD54-0F4AB00127A0}">
          <x14:formula1>
            <xm:f>'[uMCTL2_3.70a_Register_Map - DDR4 and LPDDR4_v3.0 - ddr4_2666.xlsx]LU'!#REF!</xm:f>
          </x14:formula1>
          <xm:sqref>D19</xm:sqref>
        </x14:dataValidation>
        <x14:dataValidation type="list" allowBlank="1" showInputMessage="1" showErrorMessage="1" xr:uid="{124288D7-20C2-4C03-A41F-110786A42E14}">
          <x14:formula1>
            <xm:f>'[uMCTL2_3.70a_Register_Map - DDR4 and LPDDR4_v3.0 - ddr4_2666.xlsx]LU'!#REF!</xm:f>
          </x14:formula1>
          <xm:sqref>D26</xm:sqref>
        </x14:dataValidation>
        <x14:dataValidation type="list" allowBlank="1" showInputMessage="1" showErrorMessage="1" xr:uid="{5339445B-A775-4D67-9F01-03588D568613}">
          <x14:formula1>
            <xm:f>'[uMCTL2_3.70a_Register_Map - DDR4 and LPDDR4_v3.0 - ddr4_2666.xlsx]LU'!#REF!</xm:f>
          </x14:formula1>
          <xm:sqref>D24</xm:sqref>
        </x14:dataValidation>
        <x14:dataValidation type="list" allowBlank="1" showInputMessage="1" showErrorMessage="1" xr:uid="{DF3DFBBE-AA32-43AB-A393-5915D7139453}">
          <x14:formula1>
            <xm:f>'[uMCTL2_3.70a_Register_Map - DDR4 and LPDDR4_v3.0 - ddr4_2666.xlsx]LU'!#REF!</xm:f>
          </x14:formula1>
          <xm:sqref>D23</xm:sqref>
        </x14:dataValidation>
        <x14:dataValidation type="list" allowBlank="1" showInputMessage="1" showErrorMessage="1" xr:uid="{651D3BB5-1C7F-4819-A02E-6B5B578E3F3F}">
          <x14:formula1>
            <xm:f>'[uMCTL2_3.70a_Register_Map - DDR4 and LPDDR4_v3.0 - ddr4_2666.xlsx]LU'!#REF!</xm:f>
          </x14:formula1>
          <xm:sqref>D22</xm:sqref>
        </x14:dataValidation>
        <x14:dataValidation type="list" allowBlank="1" showInputMessage="1" showErrorMessage="1" xr:uid="{4FA588CE-0F5C-4F5D-89D1-C1C12C791DB5}">
          <x14:formula1>
            <xm:f>'[uMCTL2_3.70a_Register_Map - DDR4 and LPDDR4_v3.0 - ddr4_2666.xlsx]LU'!#REF!</xm:f>
          </x14:formula1>
          <xm:sqref>D20</xm:sqref>
        </x14:dataValidation>
        <x14:dataValidation type="list" allowBlank="1" showInputMessage="1" showErrorMessage="1" xr:uid="{4FC2D744-E468-432B-B057-04FB3A20A6FF}">
          <x14:formula1>
            <xm:f>'[uMCTL2_3.70a_Register_Map - DDR4 and LPDDR4_v3.0 - ddr4_2666.xlsx]LU'!#REF!</xm:f>
          </x14:formula1>
          <xm:sqref>D17</xm:sqref>
        </x14:dataValidation>
        <x14:dataValidation type="list" allowBlank="1" showInputMessage="1" showErrorMessage="1" xr:uid="{F6D9645C-3781-4E03-81A5-0E547E4D9C61}">
          <x14:formula1>
            <xm:f>'[uMCTL2_3.70a_Register_Map - DDR4 and LPDDR4_v3.0 - ddr4_2666.xlsx]LU'!#REF!</xm:f>
          </x14:formula1>
          <xm:sqref>D16</xm:sqref>
        </x14:dataValidation>
        <x14:dataValidation type="list" allowBlank="1" showInputMessage="1" showErrorMessage="1" xr:uid="{AB4CE427-89B7-4C5B-9288-708AB8A149F6}">
          <x14:formula1>
            <xm:f>'[uMCTL2_3.70a_Register_Map - DDR4 and LPDDR4_v3.0 - ddr4_2666.xlsx]LU'!#REF!</xm:f>
          </x14:formula1>
          <xm:sqref>D18</xm:sqref>
        </x14:dataValidation>
        <x14:dataValidation type="list" allowBlank="1" showInputMessage="1" showErrorMessage="1" xr:uid="{F73554C6-483C-43EC-BEBF-F46D30B608BF}">
          <x14:formula1>
            <xm:f>'[uMCTL2_3.70a_Register_Map - DDR4 and LPDDR4_v3.0 - ddr4_2666.xlsx]LU'!#REF!</xm:f>
          </x14:formula1>
          <xm:sqref>D9</xm:sqref>
        </x14:dataValidation>
        <x14:dataValidation type="list" allowBlank="1" showInputMessage="1" showErrorMessage="1" xr:uid="{67153CA4-A927-4383-A98D-AB5AD74E41BC}">
          <x14:formula1>
            <xm:f>'[uMCTL2_3.70a_Register_Map - DDR4 and LPDDR4_v3.0 - ddr4_2666.xlsx]LU'!#REF!</xm:f>
          </x14:formula1>
          <xm:sqref>D11</xm:sqref>
        </x14:dataValidation>
        <x14:dataValidation type="list" allowBlank="1" showInputMessage="1" showErrorMessage="1" xr:uid="{9C2B2BEA-0F33-4D3A-BA76-2D0573B76126}">
          <x14:formula1>
            <xm:f>'[uMCTL2_3.70a_Register_Map - DDR4 and LPDDR4_v3.0 - ddr4_2666.xlsx]LU'!#REF!</xm:f>
          </x14:formula1>
          <xm:sqref>D10</xm:sqref>
        </x14:dataValidation>
        <x14:dataValidation type="list" allowBlank="1" showInputMessage="1" showErrorMessage="1" xr:uid="{CE94D551-6885-4D23-ABCF-A6C52726F9CC}">
          <x14:formula1>
            <xm:f>'[uMCTL2_3.70a_Register_Map - DDR4 and LPDDR4_v3.0 - ddr4_2666.xlsx]LU'!#REF!</xm:f>
          </x14:formula1>
          <xm:sqref>D15</xm:sqref>
        </x14:dataValidation>
        <x14:dataValidation type="list" allowBlank="1" showInputMessage="1" showErrorMessage="1" xr:uid="{8BC0CB8E-DBB5-4793-8789-535FF37488CE}">
          <x14:formula1>
            <xm:f>'[uMCTL2_3.70a_Register_Map - DDR4 and LPDDR4_v3.0 - ddr4_2666.xlsx]LU'!#REF!</xm:f>
          </x14:formula1>
          <xm:sqref>D13</xm:sqref>
        </x14:dataValidation>
        <x14:dataValidation type="list" allowBlank="1" showInputMessage="1" showErrorMessage="1" xr:uid="{13903115-CB8C-4C60-A97C-22A5BB35D6D6}">
          <x14:formula1>
            <xm:f>'[uMCTL2_3.70a_Register_Map - DDR4 and LPDDR4_v3.0 - ddr4_2666.xlsx]LU'!#REF!</xm:f>
          </x14:formula1>
          <xm:sqref>D14</xm:sqref>
        </x14:dataValidation>
        <x14:dataValidation type="list" allowBlank="1" showInputMessage="1" showErrorMessage="1" xr:uid="{629FFF5E-217B-4055-94D7-4B0BEB76157F}">
          <x14:formula1>
            <xm:f>'[uMCTL2_3.70a_Register_Map - DDR4 and LPDDR4_v3.0 - ddr4_2666.xlsx]LU'!#REF!</xm:f>
          </x14:formula1>
          <xm:sqref>D12</xm:sqref>
        </x14:dataValidation>
        <x14:dataValidation type="list" allowBlank="1" showInputMessage="1" showErrorMessage="1" xr:uid="{23B8ACCC-8CD2-4535-AF4F-5C7E28CB696A}">
          <x14:formula1>
            <xm:f>'[uMCTL2_3.70a_Register_Map - DDR4 and LPDDR4_v3.0 - ddr4_2666.xlsx]LU'!#REF!</xm:f>
          </x14:formula1>
          <xm:sqref>D8</xm:sqref>
        </x14:dataValidation>
        <x14:dataValidation type="list" allowBlank="1" showInputMessage="1" showErrorMessage="1" xr:uid="{9443C992-5012-4EEE-99C1-6E488F835107}">
          <x14:formula1>
            <xm:f>'[uMCTL2_3.70a_Register_Map - DDR4 and LPDDR4_v3.0 - ddr4_2666.xlsx]LU'!#REF!</xm:f>
          </x14:formula1>
          <xm:sqref>D7</xm:sqref>
        </x14:dataValidation>
        <x14:dataValidation type="list" allowBlank="1" showInputMessage="1" showErrorMessage="1" xr:uid="{BEE62FB3-8045-4513-800F-E95E6E765681}">
          <x14:formula1>
            <xm:f>'[uMCTL2_3.70a_Register_Map - DDR4 and LPDDR4_v3.0 - ddr4_2666.xlsx]LU'!#REF!</xm:f>
          </x14:formula1>
          <xm:sqref>D5</xm:sqref>
        </x14:dataValidation>
        <x14:dataValidation type="list" allowBlank="1" showInputMessage="1" showErrorMessage="1" xr:uid="{5A2FF0F3-6A64-484A-8E6B-C5B54C96E637}">
          <x14:formula1>
            <xm:f>'[uMCTL2_3.70a_Register_Map - DDR4 and LPDDR4_v3.0 - ddr4_2666.xlsx]LU'!#REF!</xm:f>
          </x14:formula1>
          <xm:sqref>D4</xm:sqref>
        </x14:dataValidation>
        <x14:dataValidation type="list" allowBlank="1" showInputMessage="1" showErrorMessage="1" xr:uid="{39064AD4-ECF2-43EC-B1D8-57345792AF13}">
          <x14:formula1>
            <xm:f>'[uMCTL2_3.70a_Register_Map - DDR4 and LPDDR4_v3.0 - ddr4_2666.xlsx]LU'!#REF!</xm:f>
          </x14:formula1>
          <xm:sqref>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workbookViewId="0">
      <selection activeCell="D24" sqref="D24"/>
    </sheetView>
  </sheetViews>
  <sheetFormatPr defaultRowHeight="14.5" x14ac:dyDescent="0.35"/>
  <cols>
    <col min="1" max="1" width="21.1796875" customWidth="1"/>
    <col min="2" max="2" width="20.26953125" customWidth="1"/>
    <col min="3" max="3" width="26.81640625" customWidth="1"/>
    <col min="4" max="4" width="44.1796875" customWidth="1"/>
    <col min="5" max="5" width="27.54296875" style="5" customWidth="1"/>
    <col min="6" max="6" width="8.54296875" customWidth="1"/>
  </cols>
  <sheetData>
    <row r="1" spans="1:8" x14ac:dyDescent="0.35">
      <c r="A1" t="s">
        <v>791</v>
      </c>
    </row>
    <row r="2" spans="1:8" x14ac:dyDescent="0.35">
      <c r="A2" s="13" t="s">
        <v>627</v>
      </c>
      <c r="B2" s="13" t="s">
        <v>628</v>
      </c>
      <c r="C2" s="13" t="s">
        <v>629</v>
      </c>
      <c r="D2" s="13" t="s">
        <v>630</v>
      </c>
      <c r="E2" s="13" t="s">
        <v>286</v>
      </c>
    </row>
    <row r="3" spans="1:8" x14ac:dyDescent="0.35">
      <c r="A3" s="86" t="s">
        <v>643</v>
      </c>
      <c r="B3" s="85"/>
      <c r="C3" s="87"/>
      <c r="D3" s="124"/>
      <c r="E3" s="3"/>
    </row>
    <row r="4" spans="1:8" x14ac:dyDescent="0.35">
      <c r="A4" s="8" t="s">
        <v>618</v>
      </c>
      <c r="B4" s="8" t="s">
        <v>493</v>
      </c>
      <c r="C4" s="8" t="s">
        <v>497</v>
      </c>
      <c r="D4" s="123"/>
      <c r="E4" s="8"/>
      <c r="G4" s="71"/>
    </row>
    <row r="5" spans="1:8" x14ac:dyDescent="0.35">
      <c r="A5" s="8"/>
      <c r="B5" s="8"/>
      <c r="C5" s="8" t="s">
        <v>496</v>
      </c>
      <c r="D5" s="123"/>
      <c r="E5" s="8"/>
      <c r="G5" s="68"/>
      <c r="H5" s="71"/>
    </row>
    <row r="6" spans="1:8" x14ac:dyDescent="0.35">
      <c r="A6" s="8"/>
      <c r="B6" s="8"/>
      <c r="C6" s="8" t="s">
        <v>495</v>
      </c>
      <c r="D6" s="123"/>
      <c r="E6" s="8"/>
      <c r="G6" s="68"/>
      <c r="H6" s="70"/>
    </row>
    <row r="7" spans="1:8" x14ac:dyDescent="0.35">
      <c r="A7" s="8"/>
      <c r="B7" s="8"/>
      <c r="C7" s="8" t="s">
        <v>494</v>
      </c>
      <c r="D7" s="123"/>
      <c r="E7" s="8"/>
      <c r="G7" s="68"/>
    </row>
    <row r="8" spans="1:8" x14ac:dyDescent="0.35">
      <c r="A8" s="8"/>
      <c r="B8" s="8"/>
      <c r="C8" s="8" t="s">
        <v>107</v>
      </c>
      <c r="D8" s="123"/>
      <c r="E8" s="8"/>
      <c r="G8" s="67"/>
    </row>
    <row r="9" spans="1:8" x14ac:dyDescent="0.35">
      <c r="A9" s="8" t="s">
        <v>619</v>
      </c>
      <c r="B9" s="8" t="s">
        <v>508</v>
      </c>
      <c r="C9" s="8" t="s">
        <v>510</v>
      </c>
      <c r="D9" s="123"/>
      <c r="E9" s="8"/>
    </row>
    <row r="10" spans="1:8" x14ac:dyDescent="0.35">
      <c r="A10" s="8"/>
      <c r="B10" s="8"/>
      <c r="C10" s="8" t="s">
        <v>509</v>
      </c>
      <c r="D10" s="123"/>
      <c r="E10" s="8"/>
    </row>
    <row r="11" spans="1:8" x14ac:dyDescent="0.35">
      <c r="A11" s="8"/>
      <c r="B11" s="8"/>
      <c r="C11" s="8" t="s">
        <v>106</v>
      </c>
      <c r="D11" s="123"/>
      <c r="E11" s="8"/>
    </row>
    <row r="12" spans="1:8" ht="29" x14ac:dyDescent="0.35">
      <c r="A12" s="17"/>
      <c r="B12" s="17"/>
      <c r="C12" s="17" t="s">
        <v>105</v>
      </c>
      <c r="D12" s="125"/>
      <c r="E12" s="17" t="s">
        <v>886</v>
      </c>
    </row>
    <row r="13" spans="1:8" x14ac:dyDescent="0.35">
      <c r="A13" s="8" t="s">
        <v>620</v>
      </c>
      <c r="B13" s="8" t="s">
        <v>523</v>
      </c>
      <c r="C13" s="8" t="s">
        <v>528</v>
      </c>
      <c r="D13" s="123"/>
      <c r="E13" s="8"/>
    </row>
    <row r="14" spans="1:8" x14ac:dyDescent="0.35">
      <c r="A14" s="8"/>
      <c r="B14" s="8"/>
      <c r="C14" s="8" t="s">
        <v>529</v>
      </c>
      <c r="D14" s="123"/>
      <c r="E14" s="8"/>
    </row>
    <row r="15" spans="1:8" x14ac:dyDescent="0.35">
      <c r="A15" s="8"/>
      <c r="B15" s="8"/>
      <c r="C15" s="8" t="s">
        <v>527</v>
      </c>
      <c r="D15" s="123"/>
      <c r="E15" s="8"/>
    </row>
    <row r="16" spans="1:8" x14ac:dyDescent="0.35">
      <c r="A16" s="8"/>
      <c r="B16" s="8"/>
      <c r="C16" s="8" t="s">
        <v>526</v>
      </c>
      <c r="D16" s="123"/>
      <c r="E16" s="8"/>
    </row>
    <row r="17" spans="1:5" x14ac:dyDescent="0.35">
      <c r="A17" s="8"/>
      <c r="B17" s="8"/>
      <c r="C17" s="8" t="s">
        <v>525</v>
      </c>
      <c r="D17" s="123"/>
      <c r="E17" s="8"/>
    </row>
    <row r="18" spans="1:5" x14ac:dyDescent="0.35">
      <c r="A18" s="8"/>
      <c r="B18" s="8"/>
      <c r="C18" s="8" t="s">
        <v>524</v>
      </c>
      <c r="D18" s="123"/>
      <c r="E18" s="8"/>
    </row>
    <row r="19" spans="1:5" x14ac:dyDescent="0.35">
      <c r="A19" s="8" t="s">
        <v>621</v>
      </c>
      <c r="B19" s="8" t="s">
        <v>546</v>
      </c>
      <c r="C19" s="8" t="s">
        <v>547</v>
      </c>
      <c r="D19" s="123"/>
      <c r="E19" s="8"/>
    </row>
    <row r="20" spans="1:5" x14ac:dyDescent="0.35">
      <c r="A20" s="8"/>
      <c r="B20" s="8"/>
      <c r="C20" s="8" t="s">
        <v>548</v>
      </c>
      <c r="D20" s="123"/>
      <c r="E20" s="8"/>
    </row>
    <row r="21" spans="1:5" x14ac:dyDescent="0.35">
      <c r="A21" s="8"/>
      <c r="B21" s="8"/>
      <c r="C21" s="8" t="s">
        <v>549</v>
      </c>
      <c r="D21" s="123"/>
      <c r="E21" s="8"/>
    </row>
    <row r="22" spans="1:5" x14ac:dyDescent="0.35">
      <c r="A22" s="8"/>
      <c r="B22" s="8"/>
      <c r="C22" s="8" t="s">
        <v>550</v>
      </c>
      <c r="D22" s="123"/>
      <c r="E22" s="8"/>
    </row>
    <row r="23" spans="1:5" x14ac:dyDescent="0.35">
      <c r="A23" s="8"/>
      <c r="B23" s="8"/>
      <c r="C23" s="8" t="s">
        <v>551</v>
      </c>
      <c r="D23" s="123"/>
      <c r="E23" s="8"/>
    </row>
    <row r="24" spans="1:5" x14ac:dyDescent="0.35">
      <c r="A24" s="8"/>
      <c r="B24" s="8"/>
      <c r="C24" s="8" t="s">
        <v>552</v>
      </c>
      <c r="D24" s="123"/>
      <c r="E24" s="8"/>
    </row>
    <row r="25" spans="1:5" x14ac:dyDescent="0.35">
      <c r="A25" s="8"/>
      <c r="B25" s="8"/>
      <c r="C25" s="8" t="s">
        <v>553</v>
      </c>
      <c r="D25" s="123"/>
      <c r="E25" s="8"/>
    </row>
    <row r="26" spans="1:5" x14ac:dyDescent="0.35">
      <c r="A26" s="8"/>
      <c r="B26" s="8"/>
      <c r="C26" s="8" t="s">
        <v>554</v>
      </c>
      <c r="D26" s="123"/>
      <c r="E26" s="8"/>
    </row>
    <row r="27" spans="1:5" x14ac:dyDescent="0.35">
      <c r="A27" s="8" t="s">
        <v>622</v>
      </c>
      <c r="B27" s="20" t="s">
        <v>572</v>
      </c>
      <c r="C27" s="8" t="s">
        <v>575</v>
      </c>
      <c r="D27" s="123"/>
      <c r="E27" s="8"/>
    </row>
    <row r="28" spans="1:5" x14ac:dyDescent="0.35">
      <c r="A28" s="8"/>
      <c r="B28" s="8"/>
      <c r="C28" s="8" t="s">
        <v>576</v>
      </c>
      <c r="D28" s="123"/>
      <c r="E28" s="8"/>
    </row>
    <row r="29" spans="1:5" x14ac:dyDescent="0.35">
      <c r="A29" s="8"/>
      <c r="B29" s="8"/>
      <c r="C29" s="8" t="s">
        <v>573</v>
      </c>
      <c r="D29" s="123"/>
      <c r="E29" s="8"/>
    </row>
    <row r="30" spans="1:5" x14ac:dyDescent="0.35">
      <c r="A30" s="8" t="s">
        <v>623</v>
      </c>
      <c r="B30" s="8" t="s">
        <v>579</v>
      </c>
      <c r="C30" s="8" t="s">
        <v>581</v>
      </c>
      <c r="D30" s="123"/>
      <c r="E30" s="8"/>
    </row>
    <row r="31" spans="1:5" x14ac:dyDescent="0.35">
      <c r="A31" s="8"/>
      <c r="B31" s="8"/>
      <c r="C31" s="8" t="s">
        <v>580</v>
      </c>
      <c r="D31" s="126"/>
      <c r="E31" s="8"/>
    </row>
    <row r="32" spans="1:5" x14ac:dyDescent="0.35">
      <c r="A32" s="8" t="s">
        <v>624</v>
      </c>
      <c r="B32" s="8" t="s">
        <v>586</v>
      </c>
      <c r="C32" s="8" t="s">
        <v>587</v>
      </c>
      <c r="D32" s="123"/>
      <c r="E32" s="8"/>
    </row>
    <row r="33" spans="1:5" x14ac:dyDescent="0.35">
      <c r="A33" s="8"/>
      <c r="B33" s="8"/>
      <c r="C33" s="8" t="s">
        <v>588</v>
      </c>
      <c r="D33" s="123"/>
      <c r="E33" s="8"/>
    </row>
    <row r="34" spans="1:5" x14ac:dyDescent="0.35">
      <c r="A34" s="8"/>
      <c r="B34" s="8"/>
      <c r="C34" s="8" t="s">
        <v>589</v>
      </c>
      <c r="D34" s="123"/>
      <c r="E34" s="8"/>
    </row>
    <row r="35" spans="1:5" x14ac:dyDescent="0.35">
      <c r="A35" s="8"/>
      <c r="B35" s="8"/>
      <c r="C35" s="8" t="s">
        <v>590</v>
      </c>
      <c r="D35" s="123"/>
      <c r="E35" s="8"/>
    </row>
    <row r="36" spans="1:5" x14ac:dyDescent="0.35">
      <c r="A36" s="8"/>
      <c r="B36" s="8"/>
      <c r="C36" s="8" t="s">
        <v>591</v>
      </c>
      <c r="D36" s="123"/>
      <c r="E36" s="8"/>
    </row>
    <row r="37" spans="1:5" x14ac:dyDescent="0.35">
      <c r="A37" s="8" t="s">
        <v>625</v>
      </c>
      <c r="B37" s="8" t="s">
        <v>598</v>
      </c>
      <c r="C37" s="8" t="s">
        <v>599</v>
      </c>
      <c r="D37" s="123"/>
      <c r="E37" s="8"/>
    </row>
    <row r="38" spans="1:5" x14ac:dyDescent="0.35">
      <c r="A38" s="8"/>
      <c r="B38" s="8"/>
      <c r="C38" s="8" t="s">
        <v>600</v>
      </c>
      <c r="D38" s="126"/>
      <c r="E38" s="8"/>
    </row>
  </sheetData>
  <sheetProtection selectLockedCells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2"/>
  <sheetViews>
    <sheetView topLeftCell="A28" zoomScaleNormal="100" workbookViewId="0">
      <selection activeCell="F5" sqref="F5"/>
    </sheetView>
  </sheetViews>
  <sheetFormatPr defaultRowHeight="14.5" x14ac:dyDescent="0.35"/>
  <cols>
    <col min="1" max="1" width="22.81640625" customWidth="1"/>
    <col min="2" max="2" width="22.54296875" customWidth="1"/>
    <col min="3" max="3" width="25.453125" customWidth="1"/>
    <col min="4" max="4" width="28.1796875" style="10" customWidth="1"/>
    <col min="5" max="5" width="34.7265625" customWidth="1"/>
    <col min="6" max="6" width="15.54296875" customWidth="1"/>
  </cols>
  <sheetData>
    <row r="1" spans="1:5" x14ac:dyDescent="0.35">
      <c r="D1" s="16"/>
    </row>
    <row r="2" spans="1:5" x14ac:dyDescent="0.35">
      <c r="A2" s="146" t="s">
        <v>467</v>
      </c>
      <c r="B2" s="147"/>
      <c r="C2" s="147"/>
      <c r="D2" s="147"/>
      <c r="E2" s="147"/>
    </row>
    <row r="3" spans="1:5" x14ac:dyDescent="0.35">
      <c r="A3" s="64"/>
      <c r="B3" s="65"/>
      <c r="C3" s="63" t="s">
        <v>465</v>
      </c>
      <c r="D3" s="65" t="str">
        <f>IF(Parameters!B6=0,"DDR4", "LPDDR4")</f>
        <v>DDR4</v>
      </c>
      <c r="E3" s="65"/>
    </row>
    <row r="4" spans="1:5" x14ac:dyDescent="0.35">
      <c r="A4" s="13" t="s">
        <v>0</v>
      </c>
      <c r="B4" s="13" t="s">
        <v>1</v>
      </c>
      <c r="C4" s="13" t="s">
        <v>2</v>
      </c>
      <c r="D4" s="14" t="s">
        <v>405</v>
      </c>
      <c r="E4" s="13" t="s">
        <v>286</v>
      </c>
    </row>
    <row r="5" spans="1:5" ht="28" customHeight="1" x14ac:dyDescent="0.35">
      <c r="A5" s="3" t="s">
        <v>57</v>
      </c>
      <c r="B5" s="3" t="s">
        <v>3</v>
      </c>
      <c r="C5" s="3" t="s">
        <v>4</v>
      </c>
      <c r="D5" s="130" t="str">
        <f>Registers_Calculation!H153</f>
        <v>00A200AE</v>
      </c>
      <c r="E5" s="44" t="s">
        <v>436</v>
      </c>
    </row>
    <row r="6" spans="1:5" x14ac:dyDescent="0.35">
      <c r="A6" s="3" t="s">
        <v>58</v>
      </c>
      <c r="B6" s="3" t="s">
        <v>5</v>
      </c>
      <c r="C6" s="3" t="s">
        <v>6</v>
      </c>
      <c r="D6" s="130" t="str">
        <f>Registers_Calculation!H160</f>
        <v>00000000</v>
      </c>
      <c r="E6" s="1"/>
    </row>
    <row r="7" spans="1:5" x14ac:dyDescent="0.35">
      <c r="A7" s="3" t="s">
        <v>59</v>
      </c>
      <c r="B7" s="3" t="s">
        <v>7</v>
      </c>
      <c r="C7" s="3" t="s">
        <v>8</v>
      </c>
      <c r="D7" s="130" t="str">
        <f>Registers_Calculation!H7</f>
        <v>15142D15</v>
      </c>
      <c r="E7" s="1"/>
    </row>
    <row r="8" spans="1:5" x14ac:dyDescent="0.35">
      <c r="A8" s="3" t="s">
        <v>60</v>
      </c>
      <c r="B8" s="3" t="s">
        <v>9</v>
      </c>
      <c r="C8" s="3" t="s">
        <v>10</v>
      </c>
      <c r="D8" s="130" t="str">
        <f>Registers_Calculation!H16</f>
        <v>0004051F</v>
      </c>
      <c r="E8" s="1"/>
    </row>
    <row r="9" spans="1:5" x14ac:dyDescent="0.35">
      <c r="A9" s="3" t="s">
        <v>61</v>
      </c>
      <c r="B9" s="3" t="s">
        <v>11</v>
      </c>
      <c r="C9" s="3" t="s">
        <v>12</v>
      </c>
      <c r="D9" s="131" t="str">
        <f>Registers_Calculation!H24</f>
        <v>09090411</v>
      </c>
      <c r="E9" s="1"/>
    </row>
    <row r="10" spans="1:5" x14ac:dyDescent="0.35">
      <c r="A10" s="3" t="s">
        <v>62</v>
      </c>
      <c r="B10" s="3" t="s">
        <v>13</v>
      </c>
      <c r="C10" s="3" t="s">
        <v>14</v>
      </c>
      <c r="D10" s="131" t="str">
        <f>Registers_Calculation!H33</f>
        <v>0000500A</v>
      </c>
      <c r="E10" s="1"/>
    </row>
    <row r="11" spans="1:5" x14ac:dyDescent="0.35">
      <c r="A11" s="3" t="s">
        <v>63</v>
      </c>
      <c r="B11" s="3" t="s">
        <v>15</v>
      </c>
      <c r="C11" s="3" t="s">
        <v>16</v>
      </c>
      <c r="D11" s="131" t="str">
        <f>Registers_Calculation!H40</f>
        <v>0904050A</v>
      </c>
      <c r="E11" s="1"/>
    </row>
    <row r="12" spans="1:5" x14ac:dyDescent="0.35">
      <c r="A12" s="3" t="s">
        <v>64</v>
      </c>
      <c r="B12" s="3" t="s">
        <v>17</v>
      </c>
      <c r="C12" s="3" t="s">
        <v>18</v>
      </c>
      <c r="D12" s="130" t="str">
        <f>Registers_Calculation!H49</f>
        <v>07070404</v>
      </c>
      <c r="E12" s="1"/>
    </row>
    <row r="13" spans="1:5" x14ac:dyDescent="0.35">
      <c r="A13" s="3" t="s">
        <v>65</v>
      </c>
      <c r="B13" s="3" t="s">
        <v>19</v>
      </c>
      <c r="C13" s="3" t="s">
        <v>20</v>
      </c>
      <c r="D13" s="130" t="str">
        <f>Registers_Calculation!H58</f>
        <v>00000000</v>
      </c>
      <c r="E13" s="9" t="s">
        <v>375</v>
      </c>
    </row>
    <row r="14" spans="1:5" x14ac:dyDescent="0.35">
      <c r="A14" s="3" t="s">
        <v>66</v>
      </c>
      <c r="B14" s="3" t="s">
        <v>21</v>
      </c>
      <c r="C14" s="3" t="s">
        <v>22</v>
      </c>
      <c r="D14" s="130" t="str">
        <f>Registers_Calculation!H64</f>
        <v>00000707</v>
      </c>
      <c r="E14" s="9" t="s">
        <v>375</v>
      </c>
    </row>
    <row r="15" spans="1:5" x14ac:dyDescent="0.35">
      <c r="A15" s="12" t="s">
        <v>67</v>
      </c>
      <c r="B15" s="12" t="s">
        <v>23</v>
      </c>
      <c r="C15" s="12" t="s">
        <v>24</v>
      </c>
      <c r="D15" s="130" t="str">
        <f>Registers_Calculation!H72</f>
        <v>04040F07</v>
      </c>
      <c r="E15" s="9" t="s">
        <v>164</v>
      </c>
    </row>
    <row r="16" spans="1:5" x14ac:dyDescent="0.35">
      <c r="A16" s="12" t="s">
        <v>68</v>
      </c>
      <c r="B16" s="12" t="s">
        <v>25</v>
      </c>
      <c r="C16" s="12" t="s">
        <v>26</v>
      </c>
      <c r="D16" s="130" t="str">
        <f>Registers_Calculation!H82</f>
        <v>4002040D</v>
      </c>
      <c r="E16" s="9" t="s">
        <v>164</v>
      </c>
    </row>
    <row r="17" spans="1:5" x14ac:dyDescent="0.35">
      <c r="A17" s="12" t="s">
        <v>69</v>
      </c>
      <c r="B17" s="12" t="s">
        <v>27</v>
      </c>
      <c r="C17" s="12" t="s">
        <v>28</v>
      </c>
      <c r="D17" s="130" t="str">
        <f>Registers_Calculation!H93</f>
        <v>000C0A05</v>
      </c>
      <c r="E17" s="9" t="s">
        <v>164</v>
      </c>
    </row>
    <row r="18" spans="1:5" x14ac:dyDescent="0.35">
      <c r="A18" s="12" t="s">
        <v>70</v>
      </c>
      <c r="B18" s="12" t="s">
        <v>29</v>
      </c>
      <c r="C18" s="12" t="s">
        <v>30</v>
      </c>
      <c r="D18" s="130" t="str">
        <f>Registers_Calculation!H101</f>
        <v>1309010C</v>
      </c>
      <c r="E18" s="9" t="s">
        <v>164</v>
      </c>
    </row>
    <row r="19" spans="1:5" x14ac:dyDescent="0.35">
      <c r="A19" s="3" t="s">
        <v>71</v>
      </c>
      <c r="B19" s="3" t="s">
        <v>31</v>
      </c>
      <c r="C19" s="3" t="s">
        <v>32</v>
      </c>
      <c r="D19" s="130" t="str">
        <f>Registers_Calculation!H109</f>
        <v>0A000007</v>
      </c>
      <c r="E19" s="1"/>
    </row>
    <row r="20" spans="1:5" x14ac:dyDescent="0.35">
      <c r="A20" s="3" t="s">
        <v>72</v>
      </c>
      <c r="B20" s="3" t="s">
        <v>33</v>
      </c>
      <c r="C20" s="3" t="s">
        <v>34</v>
      </c>
      <c r="D20" s="131" t="str">
        <f>Registers_Calculation!H117</f>
        <v>00000000</v>
      </c>
      <c r="E20" s="9" t="s">
        <v>375</v>
      </c>
    </row>
    <row r="21" spans="1:5" x14ac:dyDescent="0.35">
      <c r="A21" s="3" t="s">
        <v>73</v>
      </c>
      <c r="B21" s="3" t="s">
        <v>35</v>
      </c>
      <c r="C21" s="3" t="s">
        <v>36</v>
      </c>
      <c r="D21" s="130" t="str">
        <f>Registers_Calculation!H125</f>
        <v>00000000</v>
      </c>
      <c r="E21" s="9" t="s">
        <v>375</v>
      </c>
    </row>
    <row r="22" spans="1:5" x14ac:dyDescent="0.35">
      <c r="A22" s="60" t="s">
        <v>74</v>
      </c>
      <c r="B22" s="60" t="s">
        <v>37</v>
      </c>
      <c r="C22" s="60" t="s">
        <v>38</v>
      </c>
      <c r="D22" s="132"/>
      <c r="E22" s="61" t="s">
        <v>463</v>
      </c>
    </row>
    <row r="23" spans="1:5" x14ac:dyDescent="0.35">
      <c r="A23" s="12" t="s">
        <v>75</v>
      </c>
      <c r="B23" s="12" t="s">
        <v>39</v>
      </c>
      <c r="C23" s="12" t="s">
        <v>40</v>
      </c>
      <c r="D23" s="130" t="str">
        <f>Registers_Calculation!H140</f>
        <v>00000000</v>
      </c>
      <c r="E23" s="11" t="s">
        <v>184</v>
      </c>
    </row>
    <row r="24" spans="1:5" x14ac:dyDescent="0.35">
      <c r="A24" s="3" t="s">
        <v>76</v>
      </c>
      <c r="B24" s="3" t="s">
        <v>41</v>
      </c>
      <c r="C24" s="3" t="s">
        <v>42</v>
      </c>
      <c r="D24" s="130" t="str">
        <f>Registers_Calculation!H147</f>
        <v>00000000</v>
      </c>
      <c r="E24" s="9" t="s">
        <v>375</v>
      </c>
    </row>
    <row r="25" spans="1:5" x14ac:dyDescent="0.35">
      <c r="A25" s="3" t="s">
        <v>77</v>
      </c>
      <c r="B25" s="3" t="s">
        <v>43</v>
      </c>
      <c r="C25" s="3" t="s">
        <v>44</v>
      </c>
      <c r="D25" s="130" t="str">
        <f>Registers_Calculation!H166</f>
        <v>C1000040</v>
      </c>
      <c r="E25" s="1"/>
    </row>
    <row r="26" spans="1:5" x14ac:dyDescent="0.35">
      <c r="A26" s="3" t="s">
        <v>78</v>
      </c>
      <c r="B26" s="3" t="s">
        <v>45</v>
      </c>
      <c r="C26" s="3" t="s">
        <v>46</v>
      </c>
      <c r="D26" s="130" t="str">
        <f>Registers_Calculation!H175</f>
        <v>00000000</v>
      </c>
      <c r="E26" s="1"/>
    </row>
    <row r="27" spans="1:5" x14ac:dyDescent="0.35">
      <c r="A27" s="3" t="s">
        <v>79</v>
      </c>
      <c r="B27" s="3" t="s">
        <v>47</v>
      </c>
      <c r="C27" s="3" t="s">
        <v>48</v>
      </c>
      <c r="D27" s="131" t="str">
        <f>Registers_Calculation!H181</f>
        <v>03070107</v>
      </c>
      <c r="E27" s="1"/>
    </row>
    <row r="28" spans="1:5" x14ac:dyDescent="0.35">
      <c r="A28" s="3" t="s">
        <v>80</v>
      </c>
      <c r="B28" s="3" t="s">
        <v>49</v>
      </c>
      <c r="C28" s="3" t="s">
        <v>50</v>
      </c>
      <c r="D28" s="131" t="str">
        <f>Registers_Calculation!H191</f>
        <v>000A0202</v>
      </c>
      <c r="E28" s="1"/>
    </row>
    <row r="29" spans="1:5" x14ac:dyDescent="0.35">
      <c r="A29" s="3" t="s">
        <v>81</v>
      </c>
      <c r="B29" s="3" t="s">
        <v>51</v>
      </c>
      <c r="C29" s="3" t="s">
        <v>52</v>
      </c>
      <c r="D29" s="131" t="str">
        <f>Registers_Calculation!H202</f>
        <v>C0300018</v>
      </c>
      <c r="E29" s="1"/>
    </row>
    <row r="30" spans="1:5" x14ac:dyDescent="0.35">
      <c r="A30" s="3" t="s">
        <v>82</v>
      </c>
      <c r="B30" s="3" t="s">
        <v>53</v>
      </c>
      <c r="C30" s="3" t="s">
        <v>54</v>
      </c>
      <c r="D30" s="131" t="str">
        <f>Registers_Calculation!H212</f>
        <v>00000D0D</v>
      </c>
      <c r="E30" s="1"/>
    </row>
    <row r="31" spans="1:5" ht="14.5" customHeight="1" x14ac:dyDescent="0.35">
      <c r="A31" s="3" t="s">
        <v>83</v>
      </c>
      <c r="B31" s="3" t="s">
        <v>55</v>
      </c>
      <c r="C31" s="3" t="s">
        <v>56</v>
      </c>
      <c r="D31" s="130" t="str">
        <f>IF(Parameters!B6=0,Registers_Calculation!H218,"00000000")</f>
        <v>00000004</v>
      </c>
      <c r="E31" s="43" t="s">
        <v>409</v>
      </c>
    </row>
    <row r="32" spans="1:5" x14ac:dyDescent="0.35">
      <c r="A32" s="3" t="s">
        <v>471</v>
      </c>
      <c r="B32" s="12" t="s">
        <v>478</v>
      </c>
      <c r="C32" s="12" t="s">
        <v>479</v>
      </c>
      <c r="D32" s="130" t="str">
        <f>Registers_Calculation!H223</f>
        <v>C0020002</v>
      </c>
      <c r="E32" s="1"/>
    </row>
    <row r="33" spans="1:5" x14ac:dyDescent="0.35">
      <c r="A33" s="3" t="s">
        <v>480</v>
      </c>
      <c r="B33" s="12" t="s">
        <v>481</v>
      </c>
      <c r="C33" s="12" t="s">
        <v>479</v>
      </c>
      <c r="D33" s="130" t="str">
        <f>Registers_Calculation!H229</f>
        <v>00A40000</v>
      </c>
      <c r="E33" s="1"/>
    </row>
    <row r="34" spans="1:5" x14ac:dyDescent="0.35">
      <c r="A34" s="12" t="s">
        <v>488</v>
      </c>
      <c r="B34" s="12" t="s">
        <v>489</v>
      </c>
      <c r="C34" s="12" t="s">
        <v>479</v>
      </c>
      <c r="D34" s="130" t="str">
        <f>Registers_Calculation!E234</f>
        <v>0A400101</v>
      </c>
      <c r="E34" s="1"/>
    </row>
    <row r="35" spans="1:5" x14ac:dyDescent="0.35">
      <c r="A35" s="3" t="s">
        <v>543</v>
      </c>
      <c r="B35" s="12" t="s">
        <v>565</v>
      </c>
      <c r="C35" s="12" t="s">
        <v>479</v>
      </c>
      <c r="D35" s="130" t="str">
        <f>Registers_Calculation!E242</f>
        <v>08060200</v>
      </c>
      <c r="E35" s="1"/>
    </row>
    <row r="36" spans="1:5" x14ac:dyDescent="0.35">
      <c r="A36" s="3" t="s">
        <v>566</v>
      </c>
      <c r="B36" s="12" t="s">
        <v>567</v>
      </c>
      <c r="C36" s="12" t="s">
        <v>479</v>
      </c>
      <c r="D36" s="130" t="str">
        <f>IF(Parameters!B6=0,Registers_Calculation!H238,"00000000")</f>
        <v>00110000</v>
      </c>
      <c r="E36" s="43" t="s">
        <v>409</v>
      </c>
    </row>
    <row r="37" spans="1:5" x14ac:dyDescent="0.35">
      <c r="A37" s="3" t="s">
        <v>568</v>
      </c>
      <c r="B37" s="12" t="s">
        <v>569</v>
      </c>
      <c r="C37" s="12" t="s">
        <v>479</v>
      </c>
      <c r="D37" s="130" t="str">
        <f>Registers_Calculation!E245</f>
        <v>18000840</v>
      </c>
      <c r="E37" s="1"/>
    </row>
    <row r="38" spans="1:5" x14ac:dyDescent="0.35">
      <c r="A38" s="3" t="s">
        <v>570</v>
      </c>
      <c r="B38" s="12" t="s">
        <v>571</v>
      </c>
      <c r="C38" s="12" t="s">
        <v>479</v>
      </c>
      <c r="D38" s="130" t="str">
        <f>Registers_Calculation!E248</f>
        <v>00000C18</v>
      </c>
      <c r="E38" s="1"/>
    </row>
    <row r="39" spans="1:5" x14ac:dyDescent="0.35">
      <c r="A39" s="8" t="s">
        <v>808</v>
      </c>
      <c r="B39" s="12" t="s">
        <v>824</v>
      </c>
      <c r="C39" s="12" t="s">
        <v>825</v>
      </c>
      <c r="D39" s="130" t="str">
        <f>Registers_Calculation!H253</f>
        <v>001F1F13</v>
      </c>
      <c r="E39" s="1"/>
    </row>
    <row r="40" spans="1:5" x14ac:dyDescent="0.35">
      <c r="A40" s="8" t="s">
        <v>809</v>
      </c>
      <c r="B40" s="12" t="s">
        <v>826</v>
      </c>
      <c r="C40" s="12" t="s">
        <v>825</v>
      </c>
      <c r="D40" s="130" t="str">
        <f>Registers_Calculation!H261</f>
        <v>003F0505</v>
      </c>
      <c r="E40" s="1"/>
    </row>
    <row r="41" spans="1:5" x14ac:dyDescent="0.35">
      <c r="A41" s="8" t="s">
        <v>814</v>
      </c>
      <c r="B41" s="12" t="s">
        <v>831</v>
      </c>
      <c r="C41" s="12" t="s">
        <v>825</v>
      </c>
      <c r="D41" s="130" t="str">
        <f>Registers_Calculation!H268</f>
        <v>00000000</v>
      </c>
      <c r="E41" s="1"/>
    </row>
    <row r="42" spans="1:5" x14ac:dyDescent="0.35">
      <c r="A42" s="8" t="s">
        <v>815</v>
      </c>
      <c r="B42" s="12" t="s">
        <v>836</v>
      </c>
      <c r="C42" s="12" t="s">
        <v>825</v>
      </c>
      <c r="D42" s="130" t="str">
        <f>Registers_Calculation!H277</f>
        <v>14141400</v>
      </c>
      <c r="E42" s="1"/>
    </row>
    <row r="43" spans="1:5" x14ac:dyDescent="0.35">
      <c r="A43" s="8" t="s">
        <v>816</v>
      </c>
      <c r="B43" s="12" t="s">
        <v>837</v>
      </c>
      <c r="C43" s="12" t="s">
        <v>825</v>
      </c>
      <c r="D43" s="130" t="str">
        <f>Registers_Calculation!H286</f>
        <v>00001F1F</v>
      </c>
      <c r="E43" s="1"/>
    </row>
    <row r="44" spans="1:5" x14ac:dyDescent="0.35">
      <c r="A44" s="8" t="s">
        <v>817</v>
      </c>
      <c r="B44" s="12" t="s">
        <v>842</v>
      </c>
      <c r="C44" s="12" t="s">
        <v>825</v>
      </c>
      <c r="D44" s="130" t="str">
        <f>Registers_Calculation!H293</f>
        <v>04040404</v>
      </c>
      <c r="E44" s="1"/>
    </row>
    <row r="45" spans="1:5" x14ac:dyDescent="0.35">
      <c r="A45" s="8" t="s">
        <v>818</v>
      </c>
      <c r="B45" s="12" t="s">
        <v>854</v>
      </c>
      <c r="C45" s="12" t="s">
        <v>825</v>
      </c>
      <c r="D45" s="130" t="str">
        <f>Registers_Calculation!H302</f>
        <v>0F040404</v>
      </c>
      <c r="E45" s="1"/>
    </row>
    <row r="46" spans="1:5" x14ac:dyDescent="0.35">
      <c r="A46" s="8" t="s">
        <v>819</v>
      </c>
      <c r="B46" s="12" t="s">
        <v>855</v>
      </c>
      <c r="C46" s="12" t="s">
        <v>825</v>
      </c>
      <c r="D46" s="130" t="str">
        <f>Registers_Calculation!H313</f>
        <v>00000F0F</v>
      </c>
      <c r="E46" s="1"/>
    </row>
    <row r="47" spans="1:5" x14ac:dyDescent="0.35">
      <c r="A47" s="8" t="s">
        <v>820</v>
      </c>
      <c r="B47" s="12" t="s">
        <v>861</v>
      </c>
      <c r="C47" s="12" t="s">
        <v>825</v>
      </c>
      <c r="D47" s="130" t="str">
        <f>Registers_Calculation!H319</f>
        <v>00003F07</v>
      </c>
      <c r="E47" s="1"/>
    </row>
    <row r="48" spans="1:5" x14ac:dyDescent="0.35">
      <c r="A48" s="8" t="s">
        <v>821</v>
      </c>
      <c r="B48" s="12" t="s">
        <v>866</v>
      </c>
      <c r="C48" s="12" t="s">
        <v>825</v>
      </c>
      <c r="D48" s="130" t="str">
        <f>Registers_Calculation!H325</f>
        <v>00000000</v>
      </c>
      <c r="E48" s="1"/>
    </row>
    <row r="49" spans="1:5" x14ac:dyDescent="0.35">
      <c r="A49" s="8" t="s">
        <v>822</v>
      </c>
      <c r="B49" s="12" t="s">
        <v>871</v>
      </c>
      <c r="C49" s="12" t="s">
        <v>825</v>
      </c>
      <c r="D49" s="130" t="str">
        <f>Registers_Calculation!H334</f>
        <v>00000000</v>
      </c>
      <c r="E49" s="1"/>
    </row>
    <row r="50" spans="1:5" x14ac:dyDescent="0.35">
      <c r="A50" s="8" t="s">
        <v>823</v>
      </c>
      <c r="B50" s="12" t="s">
        <v>875</v>
      </c>
      <c r="C50" s="12" t="s">
        <v>825</v>
      </c>
      <c r="D50" s="130" t="str">
        <f>Registers_Calculation!H343</f>
        <v>001F1F00</v>
      </c>
      <c r="E50" s="1"/>
    </row>
    <row r="51" spans="1:5" x14ac:dyDescent="0.35">
      <c r="A51" s="2"/>
      <c r="B51" s="2"/>
      <c r="C51" s="2"/>
    </row>
    <row r="52" spans="1:5" x14ac:dyDescent="0.35">
      <c r="A52" s="2"/>
      <c r="B52" s="2"/>
      <c r="C52" s="2"/>
    </row>
    <row r="53" spans="1:5" x14ac:dyDescent="0.35">
      <c r="A53" s="2"/>
      <c r="B53" s="2"/>
      <c r="C53" s="2"/>
    </row>
    <row r="54" spans="1:5" x14ac:dyDescent="0.35">
      <c r="A54" s="2"/>
      <c r="B54" s="2"/>
      <c r="C54" s="2"/>
    </row>
    <row r="55" spans="1:5" x14ac:dyDescent="0.35">
      <c r="A55" s="2"/>
      <c r="B55" s="2"/>
      <c r="C55" s="2"/>
    </row>
    <row r="56" spans="1:5" x14ac:dyDescent="0.35">
      <c r="A56" s="2"/>
      <c r="B56" s="2"/>
      <c r="C56" s="2"/>
    </row>
    <row r="57" spans="1:5" x14ac:dyDescent="0.35">
      <c r="A57" s="2"/>
      <c r="B57" s="2"/>
      <c r="C57" s="2"/>
    </row>
    <row r="58" spans="1:5" x14ac:dyDescent="0.35">
      <c r="A58" s="2"/>
      <c r="B58" s="2"/>
      <c r="C58" s="2"/>
    </row>
    <row r="59" spans="1:5" x14ac:dyDescent="0.35">
      <c r="A59" s="2"/>
      <c r="B59" s="2"/>
      <c r="C59" s="2"/>
    </row>
    <row r="60" spans="1:5" x14ac:dyDescent="0.35">
      <c r="A60" s="2"/>
      <c r="B60" s="2"/>
      <c r="C60" s="2"/>
    </row>
    <row r="61" spans="1:5" x14ac:dyDescent="0.35">
      <c r="A61" s="2"/>
      <c r="B61" s="2"/>
      <c r="C61" s="2"/>
    </row>
    <row r="62" spans="1:5" x14ac:dyDescent="0.35">
      <c r="A62" s="145"/>
      <c r="B62" s="145"/>
      <c r="C62" s="145"/>
    </row>
    <row r="63" spans="1:5" x14ac:dyDescent="0.35">
      <c r="A63" s="145"/>
      <c r="B63" s="145"/>
      <c r="C63" s="145"/>
    </row>
    <row r="64" spans="1:5" x14ac:dyDescent="0.35">
      <c r="A64" s="2"/>
      <c r="B64" s="2"/>
      <c r="C64" s="2"/>
    </row>
    <row r="65" spans="1:3" x14ac:dyDescent="0.35">
      <c r="A65" s="2"/>
      <c r="B65" s="2"/>
      <c r="C65" s="2"/>
    </row>
    <row r="66" spans="1:3" x14ac:dyDescent="0.35">
      <c r="A66" s="2"/>
      <c r="B66" s="2"/>
      <c r="C66" s="2"/>
    </row>
    <row r="67" spans="1:3" x14ac:dyDescent="0.35">
      <c r="A67" s="2"/>
      <c r="B67" s="2"/>
      <c r="C67" s="2"/>
    </row>
    <row r="68" spans="1:3" x14ac:dyDescent="0.35">
      <c r="A68" s="2"/>
      <c r="B68" s="2"/>
      <c r="C68" s="2"/>
    </row>
    <row r="69" spans="1:3" x14ac:dyDescent="0.35">
      <c r="A69" s="2"/>
      <c r="B69" s="2"/>
      <c r="C69" s="2"/>
    </row>
    <row r="70" spans="1:3" x14ac:dyDescent="0.35">
      <c r="A70" s="2"/>
      <c r="B70" s="2"/>
      <c r="C70" s="2"/>
    </row>
    <row r="71" spans="1:3" x14ac:dyDescent="0.35">
      <c r="A71" s="2"/>
      <c r="B71" s="2"/>
      <c r="C71" s="2"/>
    </row>
    <row r="72" spans="1:3" x14ac:dyDescent="0.35">
      <c r="A72" s="2"/>
      <c r="B72" s="2"/>
      <c r="C72" s="2"/>
    </row>
    <row r="73" spans="1:3" x14ac:dyDescent="0.35">
      <c r="A73" s="2"/>
      <c r="B73" s="2"/>
      <c r="C73" s="2"/>
    </row>
    <row r="74" spans="1:3" x14ac:dyDescent="0.35">
      <c r="A74" s="2"/>
      <c r="B74" s="2"/>
      <c r="C74" s="2"/>
    </row>
    <row r="75" spans="1:3" x14ac:dyDescent="0.35">
      <c r="A75" s="2"/>
      <c r="B75" s="2"/>
      <c r="C75" s="2"/>
    </row>
    <row r="76" spans="1:3" x14ac:dyDescent="0.35">
      <c r="A76" s="2"/>
      <c r="B76" s="2"/>
      <c r="C76" s="2"/>
    </row>
    <row r="77" spans="1:3" x14ac:dyDescent="0.35">
      <c r="A77" s="2"/>
      <c r="B77" s="2"/>
      <c r="C77" s="2"/>
    </row>
    <row r="78" spans="1:3" x14ac:dyDescent="0.35">
      <c r="A78" s="2"/>
      <c r="B78" s="2"/>
      <c r="C78" s="2"/>
    </row>
    <row r="79" spans="1:3" x14ac:dyDescent="0.35">
      <c r="A79" s="2"/>
      <c r="B79" s="2"/>
      <c r="C79" s="2"/>
    </row>
    <row r="80" spans="1:3" x14ac:dyDescent="0.35">
      <c r="A80" s="2"/>
      <c r="B80" s="2"/>
      <c r="C80" s="2"/>
    </row>
    <row r="81" spans="1:3" x14ac:dyDescent="0.35">
      <c r="A81" s="2"/>
      <c r="B81" s="2"/>
      <c r="C81" s="2"/>
    </row>
    <row r="82" spans="1:3" x14ac:dyDescent="0.35">
      <c r="A82" s="2"/>
      <c r="B82" s="2"/>
      <c r="C82" s="2"/>
    </row>
    <row r="83" spans="1:3" x14ac:dyDescent="0.35">
      <c r="A83" s="2"/>
      <c r="B83" s="2"/>
      <c r="C83" s="2"/>
    </row>
    <row r="84" spans="1:3" x14ac:dyDescent="0.35">
      <c r="A84" s="2"/>
      <c r="B84" s="2"/>
      <c r="C84" s="2"/>
    </row>
    <row r="85" spans="1:3" x14ac:dyDescent="0.35">
      <c r="A85" s="2"/>
      <c r="B85" s="2"/>
      <c r="C85" s="2"/>
    </row>
    <row r="86" spans="1:3" x14ac:dyDescent="0.35">
      <c r="A86" s="2"/>
      <c r="B86" s="2"/>
      <c r="C86" s="2"/>
    </row>
    <row r="87" spans="1:3" x14ac:dyDescent="0.35">
      <c r="A87" s="2"/>
      <c r="B87" s="2"/>
      <c r="C87" s="2"/>
    </row>
    <row r="88" spans="1:3" x14ac:dyDescent="0.35">
      <c r="A88" s="2"/>
      <c r="B88" s="2"/>
      <c r="C88" s="2"/>
    </row>
    <row r="89" spans="1:3" x14ac:dyDescent="0.35">
      <c r="A89" s="2"/>
      <c r="B89" s="2"/>
      <c r="C89" s="2"/>
    </row>
    <row r="90" spans="1:3" x14ac:dyDescent="0.35">
      <c r="A90" s="2"/>
      <c r="B90" s="2"/>
      <c r="C90" s="2"/>
    </row>
    <row r="91" spans="1:3" x14ac:dyDescent="0.35">
      <c r="A91" s="2"/>
      <c r="B91" s="2"/>
      <c r="C91" s="2"/>
    </row>
    <row r="92" spans="1:3" x14ac:dyDescent="0.35">
      <c r="A92" s="2"/>
      <c r="B92" s="2"/>
      <c r="C92" s="2"/>
    </row>
    <row r="93" spans="1:3" x14ac:dyDescent="0.35">
      <c r="A93" s="145"/>
      <c r="B93" s="145"/>
      <c r="C93" s="145"/>
    </row>
    <row r="94" spans="1:3" x14ac:dyDescent="0.35">
      <c r="A94" s="145"/>
      <c r="B94" s="145"/>
      <c r="C94" s="145"/>
    </row>
    <row r="95" spans="1:3" x14ac:dyDescent="0.35">
      <c r="A95" s="2"/>
      <c r="B95" s="2"/>
      <c r="C95" s="2"/>
    </row>
    <row r="96" spans="1:3" x14ac:dyDescent="0.35">
      <c r="A96" s="2"/>
      <c r="B96" s="2"/>
      <c r="C96" s="2"/>
    </row>
    <row r="97" spans="1:3" x14ac:dyDescent="0.35">
      <c r="A97" s="2"/>
      <c r="B97" s="2"/>
      <c r="C97" s="2"/>
    </row>
    <row r="98" spans="1:3" x14ac:dyDescent="0.35">
      <c r="A98" s="2"/>
      <c r="B98" s="2"/>
      <c r="C98" s="2"/>
    </row>
    <row r="99" spans="1:3" x14ac:dyDescent="0.35">
      <c r="A99" s="2"/>
      <c r="B99" s="2"/>
      <c r="C99" s="2"/>
    </row>
    <row r="100" spans="1:3" x14ac:dyDescent="0.35">
      <c r="A100" s="2"/>
      <c r="B100" s="2"/>
      <c r="C100" s="2"/>
    </row>
    <row r="101" spans="1:3" x14ac:dyDescent="0.35">
      <c r="A101" s="2"/>
      <c r="B101" s="2"/>
      <c r="C101" s="2"/>
    </row>
    <row r="102" spans="1:3" x14ac:dyDescent="0.35">
      <c r="A102" s="2"/>
      <c r="B102" s="2"/>
      <c r="C102" s="2"/>
    </row>
    <row r="103" spans="1:3" x14ac:dyDescent="0.35">
      <c r="A103" s="2"/>
      <c r="B103" s="2"/>
      <c r="C103" s="2"/>
    </row>
    <row r="104" spans="1:3" x14ac:dyDescent="0.35">
      <c r="A104" s="2"/>
      <c r="B104" s="2"/>
      <c r="C104" s="2"/>
    </row>
    <row r="105" spans="1:3" x14ac:dyDescent="0.35">
      <c r="A105" s="2"/>
      <c r="B105" s="2"/>
      <c r="C105" s="2"/>
    </row>
    <row r="106" spans="1:3" x14ac:dyDescent="0.35">
      <c r="A106" s="2"/>
      <c r="B106" s="2"/>
      <c r="C106" s="2"/>
    </row>
    <row r="107" spans="1:3" x14ac:dyDescent="0.35">
      <c r="A107" s="2"/>
      <c r="B107" s="2"/>
      <c r="C107" s="2"/>
    </row>
    <row r="108" spans="1:3" x14ac:dyDescent="0.35">
      <c r="A108" s="2"/>
      <c r="B108" s="2"/>
      <c r="C108" s="2"/>
    </row>
    <row r="109" spans="1:3" x14ac:dyDescent="0.35">
      <c r="A109" s="2"/>
      <c r="B109" s="2"/>
      <c r="C109" s="2"/>
    </row>
    <row r="110" spans="1:3" x14ac:dyDescent="0.35">
      <c r="A110" s="2"/>
      <c r="B110" s="2"/>
      <c r="C110" s="2"/>
    </row>
    <row r="111" spans="1:3" x14ac:dyDescent="0.35">
      <c r="A111" s="2"/>
      <c r="B111" s="2"/>
      <c r="C111" s="2"/>
    </row>
    <row r="112" spans="1:3" x14ac:dyDescent="0.35">
      <c r="A112" s="2"/>
      <c r="B112" s="2"/>
      <c r="C112" s="2"/>
    </row>
    <row r="113" spans="1:3" x14ac:dyDescent="0.35">
      <c r="A113" s="2"/>
      <c r="B113" s="2"/>
      <c r="C113" s="2"/>
    </row>
    <row r="114" spans="1:3" x14ac:dyDescent="0.35">
      <c r="A114" s="2"/>
      <c r="B114" s="2"/>
      <c r="C114" s="2"/>
    </row>
    <row r="115" spans="1:3" x14ac:dyDescent="0.35">
      <c r="A115" s="2"/>
      <c r="B115" s="2"/>
      <c r="C115" s="2"/>
    </row>
    <row r="116" spans="1:3" x14ac:dyDescent="0.35">
      <c r="A116" s="2"/>
      <c r="B116" s="2"/>
      <c r="C116" s="2"/>
    </row>
    <row r="117" spans="1:3" x14ac:dyDescent="0.35">
      <c r="A117" s="2"/>
      <c r="B117" s="2"/>
      <c r="C117" s="2"/>
    </row>
    <row r="118" spans="1:3" x14ac:dyDescent="0.35">
      <c r="A118" s="2"/>
      <c r="B118" s="2"/>
      <c r="C118" s="2"/>
    </row>
    <row r="119" spans="1:3" x14ac:dyDescent="0.35">
      <c r="A119" s="2"/>
      <c r="B119" s="2"/>
      <c r="C119" s="2"/>
    </row>
    <row r="120" spans="1:3" x14ac:dyDescent="0.35">
      <c r="A120" s="2"/>
      <c r="B120" s="2"/>
      <c r="C120" s="2"/>
    </row>
    <row r="121" spans="1:3" x14ac:dyDescent="0.35">
      <c r="A121" s="2"/>
      <c r="B121" s="2"/>
      <c r="C121" s="2"/>
    </row>
    <row r="122" spans="1:3" x14ac:dyDescent="0.35">
      <c r="A122" s="2"/>
      <c r="B122" s="2"/>
      <c r="C122" s="2"/>
    </row>
  </sheetData>
  <sheetProtection selectLockedCells="1"/>
  <mergeCells count="5">
    <mergeCell ref="A94:C94"/>
    <mergeCell ref="A93:C93"/>
    <mergeCell ref="A63:C63"/>
    <mergeCell ref="A62:C62"/>
    <mergeCell ref="A2:E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H347"/>
  <sheetViews>
    <sheetView tabSelected="1" topLeftCell="A238" zoomScaleNormal="100" workbookViewId="0">
      <selection activeCell="G247" sqref="G247"/>
    </sheetView>
  </sheetViews>
  <sheetFormatPr defaultRowHeight="14.5" x14ac:dyDescent="0.35"/>
  <cols>
    <col min="1" max="1" width="12.81640625" style="5" customWidth="1"/>
    <col min="2" max="2" width="16.1796875" style="5" customWidth="1"/>
    <col min="3" max="3" width="24.26953125" style="5" customWidth="1"/>
    <col min="4" max="4" width="7.81640625" style="5" customWidth="1"/>
    <col min="5" max="5" width="20.26953125" style="5" customWidth="1"/>
    <col min="6" max="6" width="37" style="5" customWidth="1"/>
    <col min="7" max="7" width="33.54296875" style="5" customWidth="1"/>
    <col min="8" max="8" width="11.26953125" style="5" customWidth="1"/>
    <col min="9" max="16384" width="8.7265625" style="5"/>
  </cols>
  <sheetData>
    <row r="3" spans="1:8" x14ac:dyDescent="0.35">
      <c r="A3" s="6" t="s">
        <v>0</v>
      </c>
      <c r="B3" s="6" t="s">
        <v>128</v>
      </c>
      <c r="C3" s="6" t="s">
        <v>127</v>
      </c>
      <c r="D3" s="6" t="s">
        <v>84</v>
      </c>
      <c r="E3" s="6" t="s">
        <v>286</v>
      </c>
      <c r="F3" s="6" t="s">
        <v>289</v>
      </c>
      <c r="H3" s="6" t="s">
        <v>291</v>
      </c>
    </row>
    <row r="5" spans="1:8" x14ac:dyDescent="0.35">
      <c r="A5" s="5" t="s">
        <v>59</v>
      </c>
      <c r="B5" s="5">
        <v>31</v>
      </c>
      <c r="C5" s="5" t="s">
        <v>129</v>
      </c>
      <c r="D5" s="5">
        <v>0</v>
      </c>
      <c r="F5" s="5" t="str">
        <f>DEC2BIN(D5,1)</f>
        <v>0</v>
      </c>
      <c r="G5" s="41" t="str">
        <f>F5&amp;F6&amp;F7&amp;F8&amp;F9&amp;F10&amp;F11&amp;F12</f>
        <v>00010101000101000010110100010101</v>
      </c>
    </row>
    <row r="6" spans="1:8" x14ac:dyDescent="0.35">
      <c r="B6" s="5" t="s">
        <v>174</v>
      </c>
      <c r="C6" s="5" t="s">
        <v>191</v>
      </c>
      <c r="D6" s="5">
        <f>IF(Parameters!B6=1,ROUNDUP((Parameters!D23+(Parameters!D24/2)+Parameters!D14+1)/2,0),(Parameters!D23+(Parameters!D24/2)+Parameters!D14)/2)</f>
        <v>21</v>
      </c>
      <c r="F6" s="5" t="str">
        <f>DEC2BIN(D6,7)</f>
        <v>0010101</v>
      </c>
    </row>
    <row r="7" spans="1:8" x14ac:dyDescent="0.35">
      <c r="B7" s="5" t="s">
        <v>177</v>
      </c>
      <c r="C7" s="5" t="s">
        <v>129</v>
      </c>
      <c r="D7" s="5">
        <v>0</v>
      </c>
      <c r="F7" s="5" t="str">
        <f>DEC2BIN(D7,2)</f>
        <v>00</v>
      </c>
      <c r="G7" s="5" t="str">
        <f>BIN2HEX(MID(G5,1,8),2)</f>
        <v>15</v>
      </c>
      <c r="H7" s="5" t="str">
        <f>G7&amp;G8&amp;G9&amp;G10</f>
        <v>15142D15</v>
      </c>
    </row>
    <row r="8" spans="1:8" x14ac:dyDescent="0.35">
      <c r="B8" s="5" t="s">
        <v>178</v>
      </c>
      <c r="C8" s="5" t="s">
        <v>192</v>
      </c>
      <c r="D8" s="5">
        <f>ROUNDUP(Parameters!D30/2,0)</f>
        <v>20</v>
      </c>
      <c r="F8" s="5" t="str">
        <f>DEC2BIN(D8,6)</f>
        <v>010100</v>
      </c>
      <c r="G8" s="5" t="str">
        <f>BIN2HEX(MID(G5,9,8),2)</f>
        <v>14</v>
      </c>
    </row>
    <row r="9" spans="1:8" x14ac:dyDescent="0.35">
      <c r="B9" s="5">
        <v>15</v>
      </c>
      <c r="C9" s="5" t="s">
        <v>129</v>
      </c>
      <c r="D9" s="5">
        <v>0</v>
      </c>
      <c r="F9" s="5" t="str">
        <f>DEC2BIN(D9,1)</f>
        <v>0</v>
      </c>
      <c r="G9" s="5" t="str">
        <f>BIN2HEX(MID(G5,17,8),2)</f>
        <v>2D</v>
      </c>
    </row>
    <row r="10" spans="1:8" x14ac:dyDescent="0.35">
      <c r="B10" s="5" t="s">
        <v>194</v>
      </c>
      <c r="C10" s="5" t="s">
        <v>195</v>
      </c>
      <c r="D10" s="5">
        <f>ROUNDDOWN((ROUNDDOWN(Parameters!D15/Parameters!B3/1024,0)-1)/2,0)</f>
        <v>45</v>
      </c>
      <c r="F10" s="5" t="str">
        <f>DEC2BIN(D10,7)</f>
        <v>0101101</v>
      </c>
      <c r="G10" s="5" t="str">
        <f>BIN2HEX(MID(G5,25,8),2)</f>
        <v>15</v>
      </c>
    </row>
    <row r="11" spans="1:8" x14ac:dyDescent="0.35">
      <c r="B11" s="5" t="s">
        <v>196</v>
      </c>
      <c r="C11" s="5" t="s">
        <v>129</v>
      </c>
      <c r="D11" s="5">
        <v>0</v>
      </c>
      <c r="F11" s="5" t="str">
        <f>DEC2BIN(D11,2)</f>
        <v>00</v>
      </c>
    </row>
    <row r="12" spans="1:8" x14ac:dyDescent="0.35">
      <c r="B12" s="5" t="s">
        <v>197</v>
      </c>
      <c r="C12" s="5" t="s">
        <v>198</v>
      </c>
      <c r="D12" s="5">
        <f>IF(Parameters!B6=1,ROUNDUP(Parameters!D16/2,0),Parameters!D16/2)</f>
        <v>21.5</v>
      </c>
      <c r="F12" s="5" t="str">
        <f>DEC2BIN(D12,6)</f>
        <v>010101</v>
      </c>
    </row>
    <row r="14" spans="1:8" x14ac:dyDescent="0.35">
      <c r="A14" s="5" t="s">
        <v>60</v>
      </c>
      <c r="B14" s="5" t="s">
        <v>199</v>
      </c>
      <c r="C14" s="5" t="s">
        <v>129</v>
      </c>
      <c r="D14" s="5">
        <v>0</v>
      </c>
      <c r="F14" s="5" t="str">
        <f>DEC2BIN(D14,10)</f>
        <v>0000000000</v>
      </c>
      <c r="G14" s="41" t="str">
        <f>F14&amp;F15&amp;F16&amp;F17&amp;F18&amp;F19&amp;F20</f>
        <v>00000000000001000000010100011111</v>
      </c>
    </row>
    <row r="15" spans="1:8" x14ac:dyDescent="0.35">
      <c r="C15" s="5" t="s">
        <v>290</v>
      </c>
      <c r="D15" s="5">
        <v>0</v>
      </c>
      <c r="F15" s="5" t="str">
        <f>DEC2BIN(D15,1)</f>
        <v>0</v>
      </c>
    </row>
    <row r="16" spans="1:8" x14ac:dyDescent="0.35">
      <c r="B16" s="5" t="s">
        <v>200</v>
      </c>
      <c r="C16" s="19" t="s">
        <v>201</v>
      </c>
      <c r="D16" s="5">
        <f>IF(Parameters!B6=1,ROUNDUP(MAX(Parameters!D17,Parameters!D51)/2,0),ROUNDUP(Parameters!D17/2,0))</f>
        <v>4</v>
      </c>
      <c r="F16" s="5" t="str">
        <f>DEC2BIN(D16,5)</f>
        <v>00100</v>
      </c>
      <c r="G16" s="5" t="str">
        <f>BIN2HEX(MID(G14,1,8),2)</f>
        <v>00</v>
      </c>
      <c r="H16" s="5" t="str">
        <f>G16&amp;G17&amp;G18&amp;G19</f>
        <v>0004051F</v>
      </c>
    </row>
    <row r="17" spans="1:8" x14ac:dyDescent="0.35">
      <c r="B17" s="5" t="s">
        <v>202</v>
      </c>
      <c r="C17" s="5" t="s">
        <v>129</v>
      </c>
      <c r="D17" s="5">
        <v>0</v>
      </c>
      <c r="E17" s="5">
        <f>MAX((Parameters!D25+MAX(Parameters!D18,4))/2,(Parameters!B22+(Parameters!B24/2)-Parameters!D75)/2)</f>
        <v>5</v>
      </c>
      <c r="F17" s="5" t="str">
        <f>DEC2BIN(D17,2)</f>
        <v>00</v>
      </c>
      <c r="G17" s="5" t="str">
        <f>BIN2HEX(MID(G14,9,8),2)</f>
        <v>04</v>
      </c>
    </row>
    <row r="18" spans="1:8" x14ac:dyDescent="0.35">
      <c r="B18" s="5" t="s">
        <v>149</v>
      </c>
      <c r="C18" s="5" t="s">
        <v>203</v>
      </c>
      <c r="D18" s="5">
        <f>IF(Parameters!B6=0,Registers_Calculation!E17,ROUNDUP(((Parameters!D24/2)+MAX(Parameters!D18,8)-8)/2,0))</f>
        <v>5</v>
      </c>
      <c r="F18" s="5" t="str">
        <f>DEC2BIN(D18,6)</f>
        <v>000101</v>
      </c>
      <c r="G18" s="5" t="str">
        <f>BIN2HEX(MID(G14,17,8),2)</f>
        <v>05</v>
      </c>
    </row>
    <row r="19" spans="1:8" x14ac:dyDescent="0.35">
      <c r="B19" s="5">
        <v>7</v>
      </c>
      <c r="C19" s="5" t="s">
        <v>129</v>
      </c>
      <c r="D19" s="5">
        <v>0</v>
      </c>
      <c r="F19" s="5" t="str">
        <f>DEC2BIN(D19,1)</f>
        <v>0</v>
      </c>
      <c r="G19" s="5" t="str">
        <f>BIN2HEX(MID(G14,25,8),2)</f>
        <v>1F</v>
      </c>
    </row>
    <row r="20" spans="1:8" x14ac:dyDescent="0.35">
      <c r="B20" s="7" t="s">
        <v>188</v>
      </c>
      <c r="C20" s="19" t="s">
        <v>204</v>
      </c>
      <c r="D20" s="5">
        <f>ROUNDUP(Parameters!D19/2,0)</f>
        <v>31</v>
      </c>
      <c r="F20" s="5" t="str">
        <f>DEC2BIN(D20,7)</f>
        <v>0011111</v>
      </c>
    </row>
    <row r="22" spans="1:8" x14ac:dyDescent="0.35">
      <c r="A22" s="5" t="s">
        <v>61</v>
      </c>
      <c r="B22" s="5" t="s">
        <v>137</v>
      </c>
      <c r="C22" s="5" t="s">
        <v>129</v>
      </c>
      <c r="D22" s="5">
        <v>0</v>
      </c>
      <c r="E22" s="5" t="s">
        <v>214</v>
      </c>
      <c r="F22" s="5" t="str">
        <f>DEC2BIN(D22,2)</f>
        <v>00</v>
      </c>
      <c r="G22" s="41" t="str">
        <f>F22&amp;F23&amp;F24&amp;F25&amp;F26&amp;F27&amp;F28&amp;F29</f>
        <v>00001001000010010000010000010001</v>
      </c>
    </row>
    <row r="23" spans="1:8" x14ac:dyDescent="0.35">
      <c r="B23" s="5" t="s">
        <v>165</v>
      </c>
      <c r="C23" s="5" t="s">
        <v>205</v>
      </c>
      <c r="D23" s="5">
        <f>ROUNDUP(Parameters!D23/2,0)</f>
        <v>9</v>
      </c>
      <c r="E23" s="5">
        <f>Parameters!D22+(Parameters!D24/2)+Parameters!D31+Parameters!D33-Parameters!D58-Parameters!D60+1</f>
        <v>24</v>
      </c>
      <c r="F23" s="5" t="str">
        <f>DEC2BIN(D23,6)</f>
        <v>001001</v>
      </c>
    </row>
    <row r="24" spans="1:8" x14ac:dyDescent="0.35">
      <c r="B24" s="5" t="s">
        <v>177</v>
      </c>
      <c r="C24" s="5" t="s">
        <v>129</v>
      </c>
      <c r="D24" s="5">
        <v>0</v>
      </c>
      <c r="E24" s="5" t="s">
        <v>288</v>
      </c>
      <c r="F24" s="5" t="str">
        <f>DEC2BIN(D24,2)</f>
        <v>00</v>
      </c>
      <c r="G24" s="5" t="str">
        <f>BIN2HEX(MID(G22,1,8),2)</f>
        <v>09</v>
      </c>
      <c r="H24" s="5" t="str">
        <f>G24&amp;G25&amp;G26&amp;G27</f>
        <v>09090411</v>
      </c>
    </row>
    <row r="25" spans="1:8" x14ac:dyDescent="0.35">
      <c r="B25" s="7">
        <v>0.88611111111111107</v>
      </c>
      <c r="C25" s="5" t="s">
        <v>206</v>
      </c>
      <c r="D25" s="5">
        <f>ROUNDUP(Parameters!D22/2,0)</f>
        <v>9</v>
      </c>
      <c r="E25" s="5">
        <f>Parameters!D22+(Parameters!D24/2)+Parameters!D31+Parameters!D32+Parameters!D33-Parameters!D23</f>
        <v>7</v>
      </c>
      <c r="F25" s="5" t="str">
        <f>DEC2BIN(D25,6)</f>
        <v>001001</v>
      </c>
      <c r="G25" s="5" t="str">
        <f>BIN2HEX(MID(G22,9,8),2)</f>
        <v>09</v>
      </c>
    </row>
    <row r="26" spans="1:8" x14ac:dyDescent="0.35">
      <c r="B26" s="5" t="s">
        <v>202</v>
      </c>
      <c r="C26" s="5" t="s">
        <v>129</v>
      </c>
      <c r="D26" s="5">
        <v>0</v>
      </c>
      <c r="F26" s="5" t="str">
        <f>DEC2BIN(D26,2)</f>
        <v>00</v>
      </c>
      <c r="G26" s="5" t="str">
        <f>BIN2HEX(MID(G22,17,8),2)</f>
        <v>04</v>
      </c>
    </row>
    <row r="27" spans="1:8" x14ac:dyDescent="0.35">
      <c r="B27" s="5" t="s">
        <v>149</v>
      </c>
      <c r="C27" s="5" t="s">
        <v>207</v>
      </c>
      <c r="D27" s="5">
        <f>IF(Parameters!B6=0,Registers_Calculation!E27,ROUNDUP((IF(Parameters!B7=1,Registers_Calculation!E23,Registers_Calculation!E25))/2,0))</f>
        <v>4</v>
      </c>
      <c r="E27" s="5">
        <f>ROUNDUP((Parameters!D22+(Parameters!D24/2)+1+Parameters!D32-Parameters!D23)/2,0)</f>
        <v>4</v>
      </c>
      <c r="F27" s="5" t="str">
        <f>DEC2BIN(D27,6)</f>
        <v>000100</v>
      </c>
      <c r="G27" s="5" t="str">
        <f>BIN2HEX(MID(G22,25,8),2)</f>
        <v>11</v>
      </c>
    </row>
    <row r="28" spans="1:8" x14ac:dyDescent="0.35">
      <c r="B28" s="5" t="s">
        <v>196</v>
      </c>
      <c r="C28" s="5" t="s">
        <v>129</v>
      </c>
      <c r="D28" s="5">
        <v>0</v>
      </c>
      <c r="F28" s="5" t="str">
        <f>DEC2BIN(D28,2)</f>
        <v>00</v>
      </c>
    </row>
    <row r="29" spans="1:8" x14ac:dyDescent="0.35">
      <c r="B29" s="5" t="s">
        <v>197</v>
      </c>
      <c r="C29" s="5" t="s">
        <v>215</v>
      </c>
      <c r="D29" s="5">
        <f>IF(Parameters!B6=0,ROUNDUP(Registers_Calculation!E29/2,0),ROUNDUP((Parameters!D23+(Parameters!D24/2)+Parameters!D50+1)/2,0))</f>
        <v>17</v>
      </c>
      <c r="E29" s="5">
        <f>Parameters!D76+Parameters!D26+(Parameters!D24/2)+Parameters!D73</f>
        <v>33</v>
      </c>
      <c r="F29" s="5" t="str">
        <f>DEC2BIN(D29,6)</f>
        <v>010001</v>
      </c>
    </row>
    <row r="31" spans="1:8" x14ac:dyDescent="0.35">
      <c r="A31" s="5" t="s">
        <v>62</v>
      </c>
      <c r="B31" s="5" t="s">
        <v>137</v>
      </c>
      <c r="C31" s="5" t="s">
        <v>129</v>
      </c>
      <c r="D31" s="5">
        <v>0</v>
      </c>
      <c r="F31" s="5" t="str">
        <f>DEC2BIN(D31,2)</f>
        <v>00</v>
      </c>
      <c r="G31" s="41" t="str">
        <f>F31&amp;F32&amp;F33&amp;F34&amp;F35&amp;F36</f>
        <v>00000000000000000101000000001010</v>
      </c>
    </row>
    <row r="32" spans="1:8" x14ac:dyDescent="0.35">
      <c r="B32" s="5" t="s">
        <v>216</v>
      </c>
      <c r="C32" s="5" t="s">
        <v>217</v>
      </c>
      <c r="D32" s="5">
        <f>IF(Parameters!B6=0,0,ROUNDUP(MAX(Parameters!D44,Parameters!D45)/2,0))</f>
        <v>0</v>
      </c>
      <c r="F32" s="5" t="str">
        <f>DEC2BIN(D32,10)</f>
        <v>0000000000</v>
      </c>
    </row>
    <row r="33" spans="1:8" x14ac:dyDescent="0.35">
      <c r="B33" s="5" t="s">
        <v>218</v>
      </c>
      <c r="C33" s="5" t="s">
        <v>129</v>
      </c>
      <c r="D33" s="5">
        <v>0</v>
      </c>
      <c r="F33" s="5" t="str">
        <f>DEC2BIN(D33,2)</f>
        <v>00</v>
      </c>
      <c r="G33" s="5" t="str">
        <f>BIN2HEX(MID(G31,1,8),2)</f>
        <v>00</v>
      </c>
      <c r="H33" s="5" t="str">
        <f>G33&amp;G34&amp;G35&amp;G36</f>
        <v>0000500A</v>
      </c>
    </row>
    <row r="34" spans="1:8" x14ac:dyDescent="0.35">
      <c r="B34" s="7" t="s">
        <v>219</v>
      </c>
      <c r="C34" s="5" t="s">
        <v>220</v>
      </c>
      <c r="D34" s="5">
        <f>IF(Parameters!B6=0,IF(D189&gt;0,ROUNDUP((Parameters!D74+Parameters!D83)/2,0),ROUNDUP(Parameters!D20/2,0)),ROUNDUP(Parameters!D20/2,0))</f>
        <v>5</v>
      </c>
      <c r="F34" s="5" t="str">
        <f>DEC2BIN(D34,6)</f>
        <v>000101</v>
      </c>
      <c r="G34" s="5" t="str">
        <f>BIN2HEX(MID(G31,9,8),2)</f>
        <v>00</v>
      </c>
    </row>
    <row r="35" spans="1:8" x14ac:dyDescent="0.35">
      <c r="B35" s="5" t="s">
        <v>221</v>
      </c>
      <c r="C35" s="5" t="s">
        <v>129</v>
      </c>
      <c r="D35" s="5">
        <v>0</v>
      </c>
      <c r="F35" s="5" t="str">
        <f>DEC2BIN(D35,2)</f>
        <v>00</v>
      </c>
      <c r="G35" s="5" t="str">
        <f>BIN2HEX(MID(G31,17,8),2)</f>
        <v>50</v>
      </c>
    </row>
    <row r="36" spans="1:8" x14ac:dyDescent="0.35">
      <c r="B36" s="5" t="s">
        <v>222</v>
      </c>
      <c r="C36" s="5" t="s">
        <v>223</v>
      </c>
      <c r="D36" s="5">
        <f>IF(Parameters!B6=0,IF(D189&gt;0,ROUNDUP((Parameters!D74+Parameters!D83)/2,0),ROUNDUP(Parameters!D74/2,0)),0)</f>
        <v>10</v>
      </c>
      <c r="E36" s="5" t="s">
        <v>224</v>
      </c>
      <c r="F36" s="5" t="str">
        <f>DEC2BIN(D36,10)</f>
        <v>0000001010</v>
      </c>
      <c r="G36" s="5" t="str">
        <f>BIN2HEX(MID(G31,25,8),2)</f>
        <v>0A</v>
      </c>
    </row>
    <row r="38" spans="1:8" x14ac:dyDescent="0.35">
      <c r="A38" s="5" t="s">
        <v>63</v>
      </c>
      <c r="B38" s="5" t="s">
        <v>225</v>
      </c>
      <c r="C38" s="5" t="s">
        <v>129</v>
      </c>
      <c r="D38" s="5">
        <v>0</v>
      </c>
      <c r="F38" s="5" t="str">
        <f>DEC2BIN(D38,3)</f>
        <v>000</v>
      </c>
      <c r="G38" s="41" t="str">
        <f>F38&amp;F39&amp;F40&amp;F41&amp;F42&amp;F43&amp;F44&amp;F45</f>
        <v>00001001000001000000010100001010</v>
      </c>
    </row>
    <row r="39" spans="1:8" x14ac:dyDescent="0.35">
      <c r="B39" s="5" t="s">
        <v>226</v>
      </c>
      <c r="C39" s="19" t="s">
        <v>227</v>
      </c>
      <c r="D39" s="5">
        <f>ROUNDUP((Parameters!D21-Parameters!D25)/2,0)</f>
        <v>9</v>
      </c>
      <c r="F39" s="5" t="str">
        <f>DEC2BIN(D39,5)</f>
        <v>01001</v>
      </c>
    </row>
    <row r="40" spans="1:8" x14ac:dyDescent="0.35">
      <c r="B40" s="5" t="s">
        <v>144</v>
      </c>
      <c r="C40" s="5" t="s">
        <v>129</v>
      </c>
      <c r="D40" s="5">
        <v>0</v>
      </c>
      <c r="F40" s="5" t="str">
        <f>DEC2BIN(D40,4)</f>
        <v>0000</v>
      </c>
      <c r="G40" s="5" t="str">
        <f>BIN2HEX(MID(G38,1,8),2)</f>
        <v>09</v>
      </c>
      <c r="H40" s="5" t="str">
        <f>G40&amp;G41&amp;G42&amp;G43</f>
        <v>0904050A</v>
      </c>
    </row>
    <row r="41" spans="1:8" x14ac:dyDescent="0.35">
      <c r="B41" s="5" t="s">
        <v>156</v>
      </c>
      <c r="C41" s="5" t="s">
        <v>228</v>
      </c>
      <c r="D41" s="5">
        <f>IF(Parameters!B6=0,ROUNDUP(Parameters!D69/2,0),ROUNDUP(Parameters!D41/2,0))</f>
        <v>4</v>
      </c>
      <c r="F41" s="5" t="str">
        <f>DEC2BIN(D41,4)</f>
        <v>0100</v>
      </c>
      <c r="G41" s="5" t="str">
        <f>BIN2HEX(MID(G38,9,8),2)</f>
        <v>04</v>
      </c>
    </row>
    <row r="42" spans="1:8" x14ac:dyDescent="0.35">
      <c r="B42" s="5" t="s">
        <v>140</v>
      </c>
      <c r="C42" s="5" t="s">
        <v>129</v>
      </c>
      <c r="D42" s="5">
        <v>0</v>
      </c>
      <c r="F42" s="5" t="str">
        <f>DEC2BIN(D42,4)</f>
        <v>0000</v>
      </c>
      <c r="G42" s="5" t="str">
        <f>BIN2HEX(MID(G38,17,8),2)</f>
        <v>05</v>
      </c>
    </row>
    <row r="43" spans="1:8" x14ac:dyDescent="0.35">
      <c r="B43" s="5" t="s">
        <v>160</v>
      </c>
      <c r="C43" s="5" t="s">
        <v>229</v>
      </c>
      <c r="D43" s="5">
        <f>IF(Parameters!B6=0,ROUNDUP(Parameters!D70/2,0),ROUNDUP(Parameters!D42/2,0))</f>
        <v>5</v>
      </c>
      <c r="F43" s="5" t="str">
        <f>DEC2BIN(D43,4)</f>
        <v>0101</v>
      </c>
      <c r="G43" s="5" t="str">
        <f>BIN2HEX(MID(G38,25,8),2)</f>
        <v>0A</v>
      </c>
    </row>
    <row r="44" spans="1:8" x14ac:dyDescent="0.35">
      <c r="B44" s="5" t="s">
        <v>133</v>
      </c>
      <c r="C44" s="5" t="s">
        <v>129</v>
      </c>
      <c r="D44" s="5">
        <v>0</v>
      </c>
      <c r="F44" s="5" t="str">
        <f>DEC2BIN(D44,3)</f>
        <v>000</v>
      </c>
    </row>
    <row r="45" spans="1:8" x14ac:dyDescent="0.35">
      <c r="B45" s="5" t="s">
        <v>134</v>
      </c>
      <c r="C45" s="19" t="s">
        <v>230</v>
      </c>
      <c r="D45" s="5">
        <f>IF(Parameters!B6=0,Registers_Calculation!E45,ROUNDUP(Parameters!D53/2,0))</f>
        <v>10</v>
      </c>
      <c r="E45" s="5">
        <f>ROUNDDOWN(Parameters!D75/2,0)+1</f>
        <v>10</v>
      </c>
      <c r="F45" s="5" t="str">
        <f>DEC2BIN(D45,5)</f>
        <v>01010</v>
      </c>
      <c r="G45" s="5" t="s">
        <v>469</v>
      </c>
    </row>
    <row r="46" spans="1:8" x14ac:dyDescent="0.35">
      <c r="D46" s="19"/>
    </row>
    <row r="47" spans="1:8" x14ac:dyDescent="0.35">
      <c r="A47" s="5" t="s">
        <v>64</v>
      </c>
      <c r="B47" s="4" t="s">
        <v>141</v>
      </c>
      <c r="C47" s="5" t="s">
        <v>129</v>
      </c>
      <c r="D47" s="19">
        <v>0</v>
      </c>
      <c r="F47" s="5" t="str">
        <f>DEC2BIN(D47,4)</f>
        <v>0000</v>
      </c>
      <c r="G47" s="41" t="str">
        <f>F47&amp;F48&amp;F49&amp;F50&amp;F51&amp;F52&amp;F53&amp;F54</f>
        <v>00000111000001110000010000000100</v>
      </c>
    </row>
    <row r="48" spans="1:8" x14ac:dyDescent="0.35">
      <c r="B48" s="5" t="s">
        <v>143</v>
      </c>
      <c r="C48" s="5" t="s">
        <v>142</v>
      </c>
      <c r="D48" s="19">
        <f>ROUNDUP(Parameters!D27/2,0)</f>
        <v>7</v>
      </c>
      <c r="F48" s="5" t="str">
        <f>DEC2BIN(D48,4)</f>
        <v>0111</v>
      </c>
    </row>
    <row r="49" spans="1:8" x14ac:dyDescent="0.35">
      <c r="B49" s="5" t="s">
        <v>144</v>
      </c>
      <c r="C49" s="5" t="s">
        <v>129</v>
      </c>
      <c r="D49" s="19">
        <v>0</v>
      </c>
      <c r="F49" s="5" t="str">
        <f>DEC2BIN(D49,4)</f>
        <v>0000</v>
      </c>
      <c r="G49" s="5" t="str">
        <f>BIN2HEX(MID(G47,1,8),2)</f>
        <v>07</v>
      </c>
      <c r="H49" s="5" t="str">
        <f>G49&amp;G50&amp;G51&amp;G52</f>
        <v>07070404</v>
      </c>
    </row>
    <row r="50" spans="1:8" x14ac:dyDescent="0.35">
      <c r="B50" s="5" t="s">
        <v>156</v>
      </c>
      <c r="C50" s="5" t="s">
        <v>145</v>
      </c>
      <c r="D50" s="19">
        <f>IF(Parameters!B6=0,IF(Parameters!B10=0,ROUNDUP((MAX(10/Parameters!B3,5)+Parameters!D26)/2,0),ROUNDUP(MAX(10/Parameters!B3,5)/2,0)),ROUNDUP(Parameters!D28/2,0))</f>
        <v>7</v>
      </c>
      <c r="F50" s="5" t="str">
        <f>DEC2BIN(D50,4)</f>
        <v>0111</v>
      </c>
      <c r="G50" s="5" t="str">
        <f>BIN2HEX(MID(G47,9,8),2)</f>
        <v>07</v>
      </c>
    </row>
    <row r="51" spans="1:8" x14ac:dyDescent="0.35">
      <c r="B51" s="7" t="s">
        <v>202</v>
      </c>
      <c r="C51" s="5" t="s">
        <v>129</v>
      </c>
      <c r="D51" s="19">
        <v>0</v>
      </c>
      <c r="F51" s="5" t="str">
        <f>DEC2BIN(D51,2)</f>
        <v>00</v>
      </c>
      <c r="G51" s="5" t="str">
        <f>BIN2HEX(MID(G47,17,8),2)</f>
        <v>04</v>
      </c>
    </row>
    <row r="52" spans="1:8" x14ac:dyDescent="0.35">
      <c r="B52" s="5" t="s">
        <v>149</v>
      </c>
      <c r="C52" s="5" t="s">
        <v>148</v>
      </c>
      <c r="D52" s="19">
        <f>IF(Parameters!B6=0,IF(Parameters!B10=0,ROUNDUP((Parameters!D29+1+Parameters!D26)/2,0),ROUNDUP((Parameters!D29+1)/2,0)),ROUNDUP(MAX(Parameters!D29,Parameters!D43)/2,0))</f>
        <v>4</v>
      </c>
      <c r="F52" s="5" t="str">
        <f>DEC2BIN(D52,6)</f>
        <v>000100</v>
      </c>
      <c r="G52" s="5" t="str">
        <f>BIN2HEX(MID(G47,25,8),2)</f>
        <v>04</v>
      </c>
    </row>
    <row r="53" spans="1:8" x14ac:dyDescent="0.35">
      <c r="B53" s="5" t="s">
        <v>133</v>
      </c>
      <c r="C53" s="5" t="s">
        <v>129</v>
      </c>
      <c r="D53" s="19">
        <v>0</v>
      </c>
      <c r="F53" s="5" t="str">
        <f>DEC2BIN(D53,3)</f>
        <v>000</v>
      </c>
    </row>
    <row r="54" spans="1:8" x14ac:dyDescent="0.35">
      <c r="B54" s="7" t="s">
        <v>134</v>
      </c>
      <c r="C54" s="5" t="s">
        <v>152</v>
      </c>
      <c r="D54" s="5">
        <f>IF(Parameters!B6=0,ROUNDUP(Parameters!D29/2,0),ROUNDUP(MAX(Parameters!D29,Parameters!D43)/2,0))</f>
        <v>4</v>
      </c>
      <c r="F54" s="5" t="str">
        <f>DEC2BIN(D54,5)</f>
        <v>00100</v>
      </c>
    </row>
    <row r="55" spans="1:8" x14ac:dyDescent="0.35">
      <c r="B55" s="7"/>
    </row>
    <row r="56" spans="1:8" x14ac:dyDescent="0.35">
      <c r="A56" s="5" t="s">
        <v>65</v>
      </c>
      <c r="B56" s="5" t="s">
        <v>141</v>
      </c>
      <c r="C56" s="5" t="s">
        <v>129</v>
      </c>
      <c r="D56" s="5">
        <v>0</v>
      </c>
      <c r="F56" s="5" t="str">
        <f>DEC2BIN(D56,4)</f>
        <v>0000</v>
      </c>
      <c r="G56" s="41" t="str">
        <f>F56&amp;F57&amp;F58&amp;F59&amp;F60&amp;F61&amp;F62</f>
        <v>00000000000000000000000000000000</v>
      </c>
    </row>
    <row r="57" spans="1:8" ht="29" x14ac:dyDescent="0.35">
      <c r="B57" s="5" t="s">
        <v>143</v>
      </c>
      <c r="C57" s="5" t="s">
        <v>153</v>
      </c>
      <c r="D57" s="5">
        <v>0</v>
      </c>
      <c r="E57" s="22" t="s">
        <v>154</v>
      </c>
      <c r="F57" s="5" t="str">
        <f t="shared" ref="F57:F62" si="0">DEC2BIN(D57,4)</f>
        <v>0000</v>
      </c>
    </row>
    <row r="58" spans="1:8" x14ac:dyDescent="0.35">
      <c r="B58" s="5" t="s">
        <v>144</v>
      </c>
      <c r="C58" s="5" t="s">
        <v>129</v>
      </c>
      <c r="D58" s="5">
        <v>0</v>
      </c>
      <c r="F58" s="5" t="str">
        <f t="shared" si="0"/>
        <v>0000</v>
      </c>
      <c r="G58" s="5" t="str">
        <f>BIN2HEX(MID(G56,1,8),2)</f>
        <v>00</v>
      </c>
      <c r="H58" s="5" t="str">
        <f>G58&amp;G59&amp;G60&amp;G61</f>
        <v>00000000</v>
      </c>
    </row>
    <row r="59" spans="1:8" ht="29" x14ac:dyDescent="0.35">
      <c r="B59" s="5" t="s">
        <v>156</v>
      </c>
      <c r="C59" s="5" t="s">
        <v>155</v>
      </c>
      <c r="D59" s="5">
        <v>0</v>
      </c>
      <c r="E59" s="22" t="s">
        <v>154</v>
      </c>
      <c r="F59" s="5" t="str">
        <f t="shared" si="0"/>
        <v>0000</v>
      </c>
      <c r="G59" s="5" t="str">
        <f>BIN2HEX(MID(G56,9,8),2)</f>
        <v>00</v>
      </c>
    </row>
    <row r="60" spans="1:8" x14ac:dyDescent="0.35">
      <c r="C60" s="5" t="s">
        <v>292</v>
      </c>
      <c r="D60" s="5">
        <v>0</v>
      </c>
      <c r="E60" s="22"/>
      <c r="F60" s="5" t="str">
        <f>DEC2BIN(D60,2)</f>
        <v>00</v>
      </c>
      <c r="G60" s="5" t="str">
        <f>BIN2HEX(MID(G56,17,8),2)</f>
        <v>00</v>
      </c>
    </row>
    <row r="61" spans="1:8" x14ac:dyDescent="0.35">
      <c r="B61" s="7" t="s">
        <v>147</v>
      </c>
      <c r="C61" s="5" t="s">
        <v>129</v>
      </c>
      <c r="D61" s="5">
        <v>0</v>
      </c>
      <c r="F61" s="5" t="str">
        <f>DEC2BIN(D61,10)</f>
        <v>0000000000</v>
      </c>
      <c r="G61" s="5" t="str">
        <f>BIN2HEX(MID(G56,25,8),2)</f>
        <v>00</v>
      </c>
    </row>
    <row r="62" spans="1:8" x14ac:dyDescent="0.35">
      <c r="B62" s="5" t="s">
        <v>158</v>
      </c>
      <c r="C62" s="5" t="s">
        <v>157</v>
      </c>
      <c r="D62" s="5">
        <f>IF(Parameters!B6=0,0,ROUNDUP((Parameters!D17+2)/2,0))</f>
        <v>0</v>
      </c>
      <c r="F62" s="5" t="str">
        <f t="shared" si="0"/>
        <v>0000</v>
      </c>
    </row>
    <row r="64" spans="1:8" x14ac:dyDescent="0.35">
      <c r="A64" s="5" t="s">
        <v>66</v>
      </c>
      <c r="B64" s="7" t="s">
        <v>159</v>
      </c>
      <c r="C64" s="5" t="s">
        <v>129</v>
      </c>
      <c r="D64" s="5">
        <v>0</v>
      </c>
      <c r="F64" s="5" t="str">
        <f>DEC2BIN(D64,10)</f>
        <v>0000000000</v>
      </c>
      <c r="G64" s="41" t="str">
        <f>F64&amp;F65&amp;F66&amp;F67&amp;F68</f>
        <v>00000000000000000000011100000111</v>
      </c>
      <c r="H64" s="5" t="str">
        <f>G65&amp;G66&amp;G67&amp;G68</f>
        <v>00000707</v>
      </c>
    </row>
    <row r="65" spans="1:8" x14ac:dyDescent="0.35">
      <c r="B65" s="7"/>
      <c r="C65" s="5" t="s">
        <v>293</v>
      </c>
      <c r="D65" s="5">
        <v>0</v>
      </c>
      <c r="F65" s="5" t="str">
        <f>DEC2BIN(D65,10)</f>
        <v>0000000000</v>
      </c>
      <c r="G65" s="5" t="str">
        <f>BIN2HEX(MID(G64,1,8),2)</f>
        <v>00</v>
      </c>
    </row>
    <row r="66" spans="1:8" x14ac:dyDescent="0.35">
      <c r="B66" s="5" t="s">
        <v>160</v>
      </c>
      <c r="C66" s="5" t="s">
        <v>161</v>
      </c>
      <c r="D66" s="5">
        <f>IF(Parameters!B6=0,D50,ROUNDUP(Parameters!D28/2,0))</f>
        <v>7</v>
      </c>
      <c r="F66" s="5" t="str">
        <f>DEC2BIN(D66,4)</f>
        <v>0111</v>
      </c>
      <c r="G66" s="5" t="str">
        <f>BIN2HEX(MID(G64,9,8),2)</f>
        <v>00</v>
      </c>
    </row>
    <row r="67" spans="1:8" x14ac:dyDescent="0.35">
      <c r="B67" s="5" t="s">
        <v>162</v>
      </c>
      <c r="C67" s="5" t="s">
        <v>129</v>
      </c>
      <c r="D67" s="5">
        <v>0</v>
      </c>
      <c r="F67" s="5" t="str">
        <f>DEC2BIN(D67,4)</f>
        <v>0000</v>
      </c>
      <c r="G67" s="5" t="str">
        <f>BIN2HEX(MID(G64,17,8),2)</f>
        <v>07</v>
      </c>
    </row>
    <row r="68" spans="1:8" x14ac:dyDescent="0.35">
      <c r="B68" s="7" t="s">
        <v>158</v>
      </c>
      <c r="C68" s="5" t="s">
        <v>163</v>
      </c>
      <c r="D68" s="5">
        <f>IF(Parameters!B6=0,Registers_Calculation!D48,ROUNDUP(Parameters!D27/2,0))</f>
        <v>7</v>
      </c>
      <c r="F68" s="5" t="str">
        <f>DEC2BIN(D68,4)</f>
        <v>0111</v>
      </c>
      <c r="G68" s="5" t="str">
        <f>BIN2HEX(MID(G64,25,8),2)</f>
        <v>07</v>
      </c>
    </row>
    <row r="69" spans="1:8" x14ac:dyDescent="0.35">
      <c r="B69" s="7"/>
    </row>
    <row r="70" spans="1:8" x14ac:dyDescent="0.35">
      <c r="A70" s="5" t="s">
        <v>67</v>
      </c>
      <c r="B70" s="5">
        <v>31</v>
      </c>
      <c r="C70" s="5" t="s">
        <v>129</v>
      </c>
      <c r="D70" s="5">
        <v>0</v>
      </c>
      <c r="F70" s="5" t="str">
        <f>DEC2BIN(D70,1)</f>
        <v>0</v>
      </c>
      <c r="G70" s="41" t="str">
        <f>F70&amp;F71&amp;F72&amp;F73&amp;F74&amp;F75&amp;F76&amp;F77</f>
        <v>00000100000001000000111100000111</v>
      </c>
    </row>
    <row r="71" spans="1:8" ht="43.5" x14ac:dyDescent="0.35">
      <c r="B71" s="7" t="s">
        <v>174</v>
      </c>
      <c r="C71" s="5" t="s">
        <v>312</v>
      </c>
      <c r="D71" s="19">
        <f>IF(Parameters!B6=0,(ROUNDUP(ROUNDUP((Parameters!D80)/2,0)/32,0))+1,0)</f>
        <v>4</v>
      </c>
      <c r="E71" s="22" t="s">
        <v>458</v>
      </c>
      <c r="F71" s="5" t="str">
        <f>DEC2BIN(D71,7)</f>
        <v>0000100</v>
      </c>
    </row>
    <row r="72" spans="1:8" x14ac:dyDescent="0.35">
      <c r="B72" s="5">
        <v>23</v>
      </c>
      <c r="C72" s="5" t="s">
        <v>129</v>
      </c>
      <c r="D72" s="19">
        <v>0</v>
      </c>
      <c r="F72" s="5" t="str">
        <f>DEC2BIN(D72,1)</f>
        <v>0</v>
      </c>
      <c r="G72" s="5" t="str">
        <f>BIN2HEX(MID(G70,1,8),2)</f>
        <v>04</v>
      </c>
      <c r="H72" s="5" t="str">
        <f>G72&amp;G73&amp;G74&amp;G75</f>
        <v>04040F07</v>
      </c>
    </row>
    <row r="73" spans="1:8" ht="43.5" x14ac:dyDescent="0.35">
      <c r="B73" s="7" t="s">
        <v>268</v>
      </c>
      <c r="C73" s="5" t="s">
        <v>313</v>
      </c>
      <c r="D73" s="19">
        <f>IF(Parameters!B6=0,(ROUNDUP(ROUNDUP(Parameters!D81/2,0)/32,0)+1),0)</f>
        <v>4</v>
      </c>
      <c r="E73" s="22" t="s">
        <v>458</v>
      </c>
      <c r="F73" s="5" t="str">
        <f>DEC2BIN(D73,7)</f>
        <v>0000100</v>
      </c>
      <c r="G73" s="5" t="str">
        <f>BIN2HEX(MID(G70,9,8),2)</f>
        <v>04</v>
      </c>
    </row>
    <row r="74" spans="1:8" x14ac:dyDescent="0.35">
      <c r="B74" s="5">
        <v>15</v>
      </c>
      <c r="C74" s="5" t="s">
        <v>129</v>
      </c>
      <c r="D74" s="19">
        <v>0</v>
      </c>
      <c r="F74" s="5" t="str">
        <f>DEC2BIN(D74,1)</f>
        <v>0</v>
      </c>
      <c r="G74" s="5" t="str">
        <f>BIN2HEX(MID(G70,17,8),2)</f>
        <v>0F</v>
      </c>
    </row>
    <row r="75" spans="1:8" ht="43.5" x14ac:dyDescent="0.35">
      <c r="B75" s="5" t="s">
        <v>194</v>
      </c>
      <c r="C75" s="5" t="s">
        <v>314</v>
      </c>
      <c r="D75" s="19">
        <f>IF(Parameters!B6=0,(ROUNDUP(ROUNDUP(Parameters!D82/2,0)/32,0)+1),0)</f>
        <v>15</v>
      </c>
      <c r="E75" s="22" t="s">
        <v>458</v>
      </c>
      <c r="F75" s="5" t="str">
        <f>DEC2BIN(D75,7)</f>
        <v>0001111</v>
      </c>
      <c r="G75" s="5" t="str">
        <f>BIN2HEX(MID(G70,25,8),2)</f>
        <v>07</v>
      </c>
    </row>
    <row r="76" spans="1:8" x14ac:dyDescent="0.35">
      <c r="B76" s="5">
        <v>7</v>
      </c>
      <c r="C76" s="5" t="s">
        <v>129</v>
      </c>
      <c r="D76" s="19">
        <v>0</v>
      </c>
      <c r="F76" s="5" t="str">
        <f>DEC2BIN(D76,1)</f>
        <v>0</v>
      </c>
    </row>
    <row r="77" spans="1:8" ht="43.5" x14ac:dyDescent="0.35">
      <c r="B77" s="5" t="s">
        <v>188</v>
      </c>
      <c r="C77" s="5" t="s">
        <v>315</v>
      </c>
      <c r="D77" s="19">
        <f>IF(Parameters!B6=0,(ROUNDUP(ROUNDUP(Parameters!D79/2,0)/32,0)+1),0)</f>
        <v>7</v>
      </c>
      <c r="E77" s="22" t="s">
        <v>458</v>
      </c>
      <c r="F77" s="5" t="str">
        <f>DEC2BIN(D77,7)</f>
        <v>0000111</v>
      </c>
    </row>
    <row r="78" spans="1:8" x14ac:dyDescent="0.35">
      <c r="B78" s="7"/>
      <c r="D78" s="19"/>
    </row>
    <row r="79" spans="1:8" x14ac:dyDescent="0.35">
      <c r="A79" s="5" t="s">
        <v>68</v>
      </c>
      <c r="B79" s="5">
        <v>31</v>
      </c>
      <c r="C79" s="5" t="s">
        <v>129</v>
      </c>
      <c r="D79" s="19">
        <v>0</v>
      </c>
      <c r="F79" s="5" t="str">
        <f>DEC2BIN(D79,1)</f>
        <v>0</v>
      </c>
      <c r="G79" s="41" t="str">
        <f>F79&amp;F80&amp;F81&amp;F82&amp;F83&amp;F84&amp;F85&amp;F86&amp;F87</f>
        <v>01000000000000100000010000001101</v>
      </c>
    </row>
    <row r="80" spans="1:8" x14ac:dyDescent="0.35">
      <c r="B80" s="5">
        <v>30</v>
      </c>
      <c r="C80" s="5" t="s">
        <v>322</v>
      </c>
      <c r="D80" s="19">
        <f>IF(Parameters!B6=0,Parameters!D97,0)</f>
        <v>1</v>
      </c>
      <c r="E80" s="5" t="s">
        <v>164</v>
      </c>
      <c r="F80" s="5" t="str">
        <f>DEC2BIN(D80,1)</f>
        <v>1</v>
      </c>
    </row>
    <row r="81" spans="1:8" x14ac:dyDescent="0.35">
      <c r="D81" s="19">
        <v>0</v>
      </c>
      <c r="F81" s="5" t="str">
        <f>DEC2BIN(D81,1)</f>
        <v>0</v>
      </c>
    </row>
    <row r="82" spans="1:8" x14ac:dyDescent="0.35">
      <c r="B82" s="7" t="s">
        <v>320</v>
      </c>
      <c r="C82" s="5" t="s">
        <v>129</v>
      </c>
      <c r="D82" s="19">
        <v>0</v>
      </c>
      <c r="F82" s="5" t="str">
        <f>DEC2BIN(D82,10)</f>
        <v>0000000000</v>
      </c>
      <c r="G82" s="5" t="str">
        <f>BIN2HEX(MID(G79,1,8),2)</f>
        <v>40</v>
      </c>
      <c r="H82" s="5" t="str">
        <f>G82&amp;G83&amp;G84&amp;G85</f>
        <v>4002040D</v>
      </c>
    </row>
    <row r="83" spans="1:8" x14ac:dyDescent="0.35">
      <c r="B83" s="7" t="s">
        <v>321</v>
      </c>
      <c r="C83" s="5" t="s">
        <v>323</v>
      </c>
      <c r="D83" s="19">
        <f>IF(Parameters!B6=0,ROUNDUP(Parameters!D84/2,0),0)</f>
        <v>2</v>
      </c>
      <c r="E83" s="5" t="s">
        <v>164</v>
      </c>
      <c r="F83" s="5" t="str">
        <f>DEC2BIN(D83,3)</f>
        <v>010</v>
      </c>
      <c r="G83" s="5" t="str">
        <f>BIN2HEX(MID(G79,9,8),2)</f>
        <v>02</v>
      </c>
    </row>
    <row r="84" spans="1:8" x14ac:dyDescent="0.35">
      <c r="B84" s="7" t="s">
        <v>140</v>
      </c>
      <c r="C84" s="5" t="s">
        <v>129</v>
      </c>
      <c r="D84" s="19">
        <v>0</v>
      </c>
      <c r="F84" s="5" t="str">
        <f>DEC2BIN(D84,4)</f>
        <v>0000</v>
      </c>
      <c r="G84" s="5" t="str">
        <f>BIN2HEX(MID(G79,17,8),2)</f>
        <v>04</v>
      </c>
    </row>
    <row r="85" spans="1:8" x14ac:dyDescent="0.35">
      <c r="B85" s="7" t="s">
        <v>160</v>
      </c>
      <c r="C85" s="5" t="s">
        <v>324</v>
      </c>
      <c r="D85" s="19">
        <f>IF(Parameters!B6=0,ROUNDUP(Parameters!D85/2,0),0)</f>
        <v>4</v>
      </c>
      <c r="E85" s="5" t="s">
        <v>164</v>
      </c>
      <c r="F85" s="5" t="str">
        <f>DEC2BIN(D85,4)</f>
        <v>0100</v>
      </c>
      <c r="G85" s="5" t="str">
        <f>BIN2HEX(MID(G79,25,8),2)</f>
        <v>0D</v>
      </c>
    </row>
    <row r="86" spans="1:8" x14ac:dyDescent="0.35">
      <c r="B86" s="7" t="s">
        <v>196</v>
      </c>
      <c r="C86" s="5" t="s">
        <v>129</v>
      </c>
      <c r="D86" s="19">
        <v>0</v>
      </c>
      <c r="F86" s="5" t="str">
        <f>DEC2BIN(D86,2)</f>
        <v>00</v>
      </c>
    </row>
    <row r="87" spans="1:8" x14ac:dyDescent="0.35">
      <c r="B87" s="7" t="s">
        <v>197</v>
      </c>
      <c r="C87" s="5" t="s">
        <v>325</v>
      </c>
      <c r="D87" s="19">
        <f>IF(Parameters!B6=0,ROUNDUP((Parameters!D76+Parameters!D26+(Parameters!D24/2)+Parameters!D86)/2,0),0)</f>
        <v>13</v>
      </c>
      <c r="E87" s="5" t="s">
        <v>164</v>
      </c>
      <c r="F87" s="5" t="str">
        <f>DEC2BIN(D87,6)</f>
        <v>001101</v>
      </c>
    </row>
    <row r="88" spans="1:8" x14ac:dyDescent="0.35">
      <c r="B88" s="7"/>
      <c r="D88" s="19"/>
    </row>
    <row r="89" spans="1:8" x14ac:dyDescent="0.35">
      <c r="A89" s="5" t="s">
        <v>69</v>
      </c>
      <c r="B89" s="7" t="s">
        <v>199</v>
      </c>
      <c r="C89" s="5" t="s">
        <v>129</v>
      </c>
      <c r="D89" s="19">
        <v>0</v>
      </c>
      <c r="F89" s="5" t="str">
        <f>DEC2BIN(D89,10)</f>
        <v>0000000000</v>
      </c>
      <c r="G89" s="41" t="str">
        <f>F89&amp;F90&amp;F91&amp;F92&amp;F93&amp;F94&amp;F95&amp;F96</f>
        <v>00000000000011000000101000000101</v>
      </c>
    </row>
    <row r="90" spans="1:8" x14ac:dyDescent="0.35">
      <c r="B90" s="7"/>
      <c r="D90" s="19">
        <v>0</v>
      </c>
      <c r="F90" s="5" t="str">
        <f>DEC2BIN(D90,1)</f>
        <v>0</v>
      </c>
    </row>
    <row r="91" spans="1:8" x14ac:dyDescent="0.35">
      <c r="B91" s="7" t="s">
        <v>200</v>
      </c>
      <c r="C91" s="5" t="s">
        <v>329</v>
      </c>
      <c r="D91" s="19">
        <f>ROUNDUP(Parameters!D87/2,0)</f>
        <v>12</v>
      </c>
      <c r="F91" s="5" t="str">
        <f>DEC2BIN(D91,5)</f>
        <v>01100</v>
      </c>
    </row>
    <row r="92" spans="1:8" x14ac:dyDescent="0.35">
      <c r="B92" s="7" t="s">
        <v>275</v>
      </c>
      <c r="C92" s="5" t="s">
        <v>129</v>
      </c>
      <c r="D92" s="19">
        <v>0</v>
      </c>
      <c r="F92" s="5" t="str">
        <f>DEC2BIN(D92,3)</f>
        <v>000</v>
      </c>
    </row>
    <row r="93" spans="1:8" x14ac:dyDescent="0.35">
      <c r="B93" s="7" t="s">
        <v>274</v>
      </c>
      <c r="C93" s="5" t="s">
        <v>330</v>
      </c>
      <c r="D93" s="19">
        <f>ROUNDUP(Parameters!D88/2,0)</f>
        <v>10</v>
      </c>
      <c r="F93" s="5" t="str">
        <f>DEC2BIN(D93,5)</f>
        <v>01010</v>
      </c>
      <c r="G93" s="5" t="str">
        <f>BIN2HEX(MID(G89,1,8),2)</f>
        <v>00</v>
      </c>
      <c r="H93" s="5" t="str">
        <f>G93&amp;G94&amp;G95&amp;G96</f>
        <v>000C0A05</v>
      </c>
    </row>
    <row r="94" spans="1:8" x14ac:dyDescent="0.35">
      <c r="B94" s="7" t="s">
        <v>162</v>
      </c>
      <c r="C94" s="5" t="s">
        <v>129</v>
      </c>
      <c r="D94" s="19">
        <v>0</v>
      </c>
      <c r="F94" s="5" t="str">
        <f>DEC2BIN(D94,4)</f>
        <v>0000</v>
      </c>
      <c r="G94" s="5" t="str">
        <f>BIN2HEX(MID(G89,9,8),2)</f>
        <v>0C</v>
      </c>
    </row>
    <row r="95" spans="1:8" x14ac:dyDescent="0.35">
      <c r="B95" s="7" t="s">
        <v>232</v>
      </c>
      <c r="C95" s="5" t="s">
        <v>331</v>
      </c>
      <c r="D95" s="19">
        <f>ROUNDUP(Parameters!D89/2,0)</f>
        <v>1</v>
      </c>
      <c r="F95" s="5" t="str">
        <f>DEC2BIN(D95,2)</f>
        <v>01</v>
      </c>
      <c r="G95" s="5" t="str">
        <f>BIN2HEX(MID(G89,17,8),2)</f>
        <v>0A</v>
      </c>
    </row>
    <row r="96" spans="1:8" x14ac:dyDescent="0.35">
      <c r="B96" s="7" t="s">
        <v>136</v>
      </c>
      <c r="C96" s="5" t="s">
        <v>332</v>
      </c>
      <c r="D96" s="19">
        <f>ROUNDUP(Parameters!D90/2,0)</f>
        <v>1</v>
      </c>
      <c r="F96" s="5" t="str">
        <f>DEC2BIN(D96,2)</f>
        <v>01</v>
      </c>
      <c r="G96" s="5" t="str">
        <f>BIN2HEX(MID(G89,25,8),2)</f>
        <v>05</v>
      </c>
    </row>
    <row r="97" spans="1:8" x14ac:dyDescent="0.35">
      <c r="B97" s="7"/>
      <c r="D97" s="19"/>
    </row>
    <row r="98" spans="1:8" x14ac:dyDescent="0.35">
      <c r="A98" s="5" t="s">
        <v>70</v>
      </c>
      <c r="B98" s="5">
        <v>31</v>
      </c>
      <c r="C98" s="5" t="s">
        <v>129</v>
      </c>
      <c r="D98" s="19">
        <v>0</v>
      </c>
      <c r="F98" s="5" t="str">
        <f>DEC2BIN(D98,1)</f>
        <v>0</v>
      </c>
      <c r="G98" s="41" t="str">
        <f>F98&amp;F99&amp;F100&amp;F101&amp;F102&amp;F103&amp;F104&amp;F105</f>
        <v>00010011000010010000000100001100</v>
      </c>
    </row>
    <row r="99" spans="1:8" ht="43.5" x14ac:dyDescent="0.35">
      <c r="B99" s="5" t="s">
        <v>174</v>
      </c>
      <c r="C99" s="5" t="s">
        <v>338</v>
      </c>
      <c r="D99" s="19">
        <f>IF(Parameters!B6=0,ROUNDUP(ROUNDUP(Parameters!D91/2,0)/32,0),0)</f>
        <v>19</v>
      </c>
      <c r="E99" s="22" t="s">
        <v>458</v>
      </c>
      <c r="F99" s="5" t="str">
        <f>DEC2BIN(D99,7)</f>
        <v>0010011</v>
      </c>
    </row>
    <row r="100" spans="1:8" x14ac:dyDescent="0.35">
      <c r="B100" s="7" t="s">
        <v>273</v>
      </c>
      <c r="C100" s="5" t="s">
        <v>129</v>
      </c>
      <c r="D100" s="19">
        <v>0</v>
      </c>
      <c r="F100" s="5" t="str">
        <f>DEC2BIN(D100,3)</f>
        <v>000</v>
      </c>
    </row>
    <row r="101" spans="1:8" x14ac:dyDescent="0.35">
      <c r="B101" s="7" t="s">
        <v>200</v>
      </c>
      <c r="C101" s="5" t="s">
        <v>339</v>
      </c>
      <c r="D101" s="19">
        <f>IF(Parameters!B6=0,ROUNDUP(Parameters!D92/2,0)+1,0)</f>
        <v>9</v>
      </c>
      <c r="E101" s="5" t="s">
        <v>164</v>
      </c>
      <c r="F101" s="5" t="str">
        <f>DEC2BIN(D101,5)</f>
        <v>01001</v>
      </c>
      <c r="G101" s="5" t="str">
        <f>BIN2HEX(MID(G98,1,8),2)</f>
        <v>13</v>
      </c>
      <c r="H101" s="5" t="str">
        <f>G101&amp;G102&amp;G103&amp;G104</f>
        <v>1309010C</v>
      </c>
    </row>
    <row r="102" spans="1:8" x14ac:dyDescent="0.35">
      <c r="B102" s="7" t="s">
        <v>240</v>
      </c>
      <c r="C102" s="5" t="s">
        <v>129</v>
      </c>
      <c r="D102" s="19">
        <v>0</v>
      </c>
      <c r="F102" s="5" t="str">
        <f>DEC2BIN(D102,6)</f>
        <v>000000</v>
      </c>
      <c r="G102" s="5" t="str">
        <f>BIN2HEX(MID(G98,9,8),2)</f>
        <v>09</v>
      </c>
    </row>
    <row r="103" spans="1:8" x14ac:dyDescent="0.35">
      <c r="B103" s="7" t="s">
        <v>337</v>
      </c>
      <c r="C103" s="5" t="s">
        <v>340</v>
      </c>
      <c r="D103" s="19">
        <f>IF(Parameters!B6=0,ROUNDUP(Parameters!D93/2,0),0)</f>
        <v>1</v>
      </c>
      <c r="E103" s="5" t="s">
        <v>164</v>
      </c>
      <c r="F103" s="5" t="str">
        <f>DEC2BIN(D103,2)</f>
        <v>01</v>
      </c>
      <c r="G103" s="5" t="str">
        <f>BIN2HEX(MID(G98,17,8),2)</f>
        <v>01</v>
      </c>
    </row>
    <row r="104" spans="1:8" x14ac:dyDescent="0.35">
      <c r="B104" s="7" t="s">
        <v>133</v>
      </c>
      <c r="C104" s="5" t="s">
        <v>129</v>
      </c>
      <c r="D104" s="19">
        <v>0</v>
      </c>
      <c r="F104" s="5" t="str">
        <f>DEC2BIN(D104,3)</f>
        <v>000</v>
      </c>
      <c r="G104" s="5" t="str">
        <f>BIN2HEX(MID(G98,25,8),2)</f>
        <v>0C</v>
      </c>
    </row>
    <row r="105" spans="1:8" x14ac:dyDescent="0.35">
      <c r="B105" s="7" t="s">
        <v>134</v>
      </c>
      <c r="C105" s="5" t="s">
        <v>341</v>
      </c>
      <c r="D105" s="19">
        <f>IF(Parameters!B6=0,ROUNDUP(Parameters!D94/2,0),0)</f>
        <v>12</v>
      </c>
      <c r="E105" s="5" t="s">
        <v>164</v>
      </c>
      <c r="F105" s="5" t="str">
        <f>DEC2BIN(D105,5)</f>
        <v>01100</v>
      </c>
    </row>
    <row r="106" spans="1:8" x14ac:dyDescent="0.35">
      <c r="B106" s="7"/>
      <c r="D106" s="19"/>
    </row>
    <row r="107" spans="1:8" x14ac:dyDescent="0.35">
      <c r="A107" s="5" t="s">
        <v>71</v>
      </c>
      <c r="B107" s="5" t="s">
        <v>137</v>
      </c>
      <c r="C107" s="5" t="s">
        <v>129</v>
      </c>
      <c r="D107" s="19">
        <v>0</v>
      </c>
      <c r="F107" s="5" t="str">
        <f>DEC2BIN(D107,2)</f>
        <v>00</v>
      </c>
      <c r="G107" s="41" t="str">
        <f>F107&amp;F108&amp;F109&amp;F110&amp;F111&amp;F112&amp;F113</f>
        <v>00001010000000000000000000000111</v>
      </c>
    </row>
    <row r="108" spans="1:8" x14ac:dyDescent="0.35">
      <c r="B108" s="5" t="s">
        <v>165</v>
      </c>
      <c r="C108" s="5" t="s">
        <v>166</v>
      </c>
      <c r="D108" s="19">
        <f>IF(Parameters!B6=0,ROUNDUP(Parameters!D95/2,0),0)</f>
        <v>10</v>
      </c>
      <c r="E108" s="5" t="s">
        <v>164</v>
      </c>
      <c r="F108" s="5" t="str">
        <f>DEC2BIN(D108,6)</f>
        <v>001010</v>
      </c>
    </row>
    <row r="109" spans="1:8" x14ac:dyDescent="0.35">
      <c r="B109" s="5" t="s">
        <v>167</v>
      </c>
      <c r="C109" s="5" t="s">
        <v>129</v>
      </c>
      <c r="D109" s="19">
        <v>0</v>
      </c>
      <c r="F109" s="5" t="str">
        <f>DEC2BIN(D109,6)</f>
        <v>000000</v>
      </c>
      <c r="G109" s="5" t="str">
        <f>BIN2HEX(MID(G107,1,8),2)</f>
        <v>0A</v>
      </c>
      <c r="H109" s="5" t="str">
        <f>G109&amp;G110&amp;G111&amp;G112</f>
        <v>0A000007</v>
      </c>
    </row>
    <row r="110" spans="1:8" x14ac:dyDescent="0.35">
      <c r="B110" s="5" t="s">
        <v>168</v>
      </c>
      <c r="C110" s="5" t="s">
        <v>169</v>
      </c>
      <c r="D110" s="19">
        <f>IF(Parameters!B6=0,0,ROUNDUP(MAX(Parameters!D56,Parameters!D57)/2,0))</f>
        <v>0</v>
      </c>
      <c r="E110" s="5" t="s">
        <v>375</v>
      </c>
      <c r="F110" s="5" t="str">
        <f>DEC2BIN(D110,2)</f>
        <v>00</v>
      </c>
      <c r="G110" s="5" t="str">
        <f>BIN2HEX(MID(G107,9,8),2)</f>
        <v>00</v>
      </c>
    </row>
    <row r="111" spans="1:8" x14ac:dyDescent="0.35">
      <c r="B111" s="5" t="s">
        <v>172</v>
      </c>
      <c r="C111" s="5" t="s">
        <v>129</v>
      </c>
      <c r="D111" s="19">
        <v>0</v>
      </c>
      <c r="F111" s="5" t="str">
        <f>DEC2BIN(D111,10)</f>
        <v>0000000000</v>
      </c>
      <c r="G111" s="5" t="str">
        <f>BIN2HEX(MID(G107,17,8),2)</f>
        <v>00</v>
      </c>
    </row>
    <row r="112" spans="1:8" x14ac:dyDescent="0.35">
      <c r="D112" s="19">
        <v>0</v>
      </c>
      <c r="F112" s="5" t="str">
        <f>DEC2BIN(D112,1)</f>
        <v>0</v>
      </c>
      <c r="G112" s="5" t="str">
        <f>BIN2HEX(MID(G107,25,8),2)</f>
        <v>07</v>
      </c>
    </row>
    <row r="113" spans="1:8" x14ac:dyDescent="0.35">
      <c r="B113" s="5" t="s">
        <v>134</v>
      </c>
      <c r="C113" s="5" t="s">
        <v>173</v>
      </c>
      <c r="D113" s="19">
        <f>IF(Parameters!B6=0,ROUNDUP(Parameters!D96/2,0),0)</f>
        <v>7</v>
      </c>
      <c r="E113" s="5" t="s">
        <v>164</v>
      </c>
      <c r="F113" s="5" t="str">
        <f>DEC2BIN(D113,5)</f>
        <v>00111</v>
      </c>
    </row>
    <row r="114" spans="1:8" x14ac:dyDescent="0.35">
      <c r="D114" s="19"/>
    </row>
    <row r="115" spans="1:8" x14ac:dyDescent="0.35">
      <c r="A115" s="5" t="s">
        <v>72</v>
      </c>
      <c r="B115" s="5">
        <v>31</v>
      </c>
      <c r="C115" s="5" t="s">
        <v>129</v>
      </c>
      <c r="D115" s="19">
        <v>0</v>
      </c>
      <c r="F115" s="5" t="str">
        <f>DEC2BIN(D115,1)</f>
        <v>0</v>
      </c>
      <c r="G115" s="41" t="str">
        <f>F115&amp;F116&amp;F117&amp;F118&amp;F119&amp;F120&amp;F121</f>
        <v>00000000000000000000000000000000</v>
      </c>
    </row>
    <row r="116" spans="1:8" x14ac:dyDescent="0.35">
      <c r="B116" s="5" t="s">
        <v>174</v>
      </c>
      <c r="C116" s="5" t="s">
        <v>175</v>
      </c>
      <c r="D116" s="19">
        <f>IF(Parameters!B6=0,0,ROUNDUP(Parameters!D59/2,0))</f>
        <v>0</v>
      </c>
      <c r="E116" s="5" t="s">
        <v>375</v>
      </c>
      <c r="F116" s="5" t="str">
        <f>DEC2BIN(D116,7)</f>
        <v>0000000</v>
      </c>
    </row>
    <row r="117" spans="1:8" x14ac:dyDescent="0.35">
      <c r="B117" s="5" t="s">
        <v>177</v>
      </c>
      <c r="C117" s="5" t="s">
        <v>129</v>
      </c>
      <c r="D117" s="19">
        <v>0</v>
      </c>
      <c r="F117" s="5" t="str">
        <f>DEC2BIN(D117,2)</f>
        <v>00</v>
      </c>
      <c r="G117" s="5" t="str">
        <f>BIN2HEX(MID(G115,1,8),2)</f>
        <v>00</v>
      </c>
      <c r="H117" s="5" t="str">
        <f>G117&amp;G118&amp;G119&amp;G120</f>
        <v>00000000</v>
      </c>
    </row>
    <row r="118" spans="1:8" x14ac:dyDescent="0.35">
      <c r="B118" s="5" t="s">
        <v>178</v>
      </c>
      <c r="C118" s="5" t="s">
        <v>179</v>
      </c>
      <c r="D118" s="19">
        <f>IF(Parameters!B6=0,0,ROUNDUP(Parameters!D52/2,0))</f>
        <v>0</v>
      </c>
      <c r="E118" s="5" t="s">
        <v>375</v>
      </c>
      <c r="F118" s="5" t="str">
        <f>DEC2BIN(D118,6)</f>
        <v>000000</v>
      </c>
      <c r="G118" s="5" t="str">
        <f>BIN2HEX(MID(G115,9,8),2)</f>
        <v>00</v>
      </c>
    </row>
    <row r="119" spans="1:8" x14ac:dyDescent="0.35">
      <c r="D119" s="19">
        <v>0</v>
      </c>
      <c r="F119" s="5" t="str">
        <f>DEC2BIN(D119,3)</f>
        <v>000</v>
      </c>
      <c r="G119" s="5" t="str">
        <f>BIN2HEX(MID(G115,17,8),2)</f>
        <v>00</v>
      </c>
    </row>
    <row r="120" spans="1:8" x14ac:dyDescent="0.35">
      <c r="B120" s="5" t="s">
        <v>180</v>
      </c>
      <c r="C120" s="5" t="s">
        <v>129</v>
      </c>
      <c r="D120" s="19">
        <v>0</v>
      </c>
      <c r="F120" s="5" t="str">
        <f>DEC2BIN(D120,10)</f>
        <v>0000000000</v>
      </c>
      <c r="G120" s="5" t="str">
        <f>BIN2HEX(MID(G115,25,8),2)</f>
        <v>00</v>
      </c>
    </row>
    <row r="121" spans="1:8" x14ac:dyDescent="0.35">
      <c r="B121" s="5" t="s">
        <v>182</v>
      </c>
      <c r="C121" s="5" t="s">
        <v>181</v>
      </c>
      <c r="D121" s="19">
        <f>IF(Parameters!B6=0,0,ROUNDUP(Parameters!D61/2,0))</f>
        <v>0</v>
      </c>
      <c r="E121" s="5" t="s">
        <v>375</v>
      </c>
      <c r="F121" s="5" t="str">
        <f>DEC2BIN(D121,3)</f>
        <v>000</v>
      </c>
    </row>
    <row r="122" spans="1:8" x14ac:dyDescent="0.35">
      <c r="D122" s="19"/>
    </row>
    <row r="123" spans="1:8" x14ac:dyDescent="0.35">
      <c r="A123" s="19" t="s">
        <v>73</v>
      </c>
      <c r="B123" s="5" t="s">
        <v>159</v>
      </c>
      <c r="C123" s="5" t="s">
        <v>129</v>
      </c>
      <c r="D123" s="19">
        <v>0</v>
      </c>
      <c r="F123" s="5" t="str">
        <f>DEC2BIN(D123,10)</f>
        <v>0000000000</v>
      </c>
      <c r="G123" s="41" t="str">
        <f>F123&amp;F124&amp;F125&amp;F126</f>
        <v>00000000000000000000000000000000</v>
      </c>
    </row>
    <row r="124" spans="1:8" x14ac:dyDescent="0.35">
      <c r="A124" s="19"/>
      <c r="C124" s="5" t="s">
        <v>298</v>
      </c>
      <c r="D124" s="19">
        <v>0</v>
      </c>
      <c r="F124" s="5" t="str">
        <f>DEC2BIN(D124,10)</f>
        <v>0000000000</v>
      </c>
    </row>
    <row r="125" spans="1:8" x14ac:dyDescent="0.35">
      <c r="A125" s="19"/>
      <c r="C125" s="5" t="s">
        <v>292</v>
      </c>
      <c r="D125" s="19">
        <v>0</v>
      </c>
      <c r="F125" s="5" t="str">
        <f>DEC2BIN(D125,2)</f>
        <v>00</v>
      </c>
      <c r="G125" s="5" t="str">
        <f>BIN2HEX(MID(G123,1,8),2)</f>
        <v>00</v>
      </c>
      <c r="H125" s="5" t="str">
        <f>G125&amp;G126&amp;G127&amp;G128</f>
        <v>00000000</v>
      </c>
    </row>
    <row r="126" spans="1:8" x14ac:dyDescent="0.35">
      <c r="A126" s="19"/>
      <c r="B126" s="5" t="s">
        <v>139</v>
      </c>
      <c r="C126" s="5" t="s">
        <v>296</v>
      </c>
      <c r="D126" s="19">
        <f>IF(Parameters!B6=0,0,ROUNDUP(Parameters!D55/2,0))</f>
        <v>0</v>
      </c>
      <c r="E126" s="5" t="s">
        <v>375</v>
      </c>
      <c r="F126" s="5" t="str">
        <f>DEC2BIN(D126,10)</f>
        <v>0000000000</v>
      </c>
      <c r="G126" s="5" t="str">
        <f>BIN2HEX(MID(G123,9,8),2)</f>
        <v>00</v>
      </c>
    </row>
    <row r="127" spans="1:8" x14ac:dyDescent="0.35">
      <c r="A127" s="19"/>
      <c r="D127" s="19"/>
      <c r="G127" s="5" t="str">
        <f>BIN2HEX(MID(G123,17,8),2)</f>
        <v>00</v>
      </c>
    </row>
    <row r="128" spans="1:8" x14ac:dyDescent="0.35">
      <c r="A128" s="19"/>
      <c r="D128" s="19"/>
      <c r="G128" s="5" t="str">
        <f>BIN2HEX(MID(G123,25,8),2)</f>
        <v>00</v>
      </c>
    </row>
    <row r="129" spans="1:8" x14ac:dyDescent="0.35">
      <c r="A129" s="19"/>
      <c r="D129" s="19"/>
    </row>
    <row r="130" spans="1:8" x14ac:dyDescent="0.35">
      <c r="A130" s="5" t="s">
        <v>74</v>
      </c>
      <c r="B130" s="5">
        <v>31</v>
      </c>
      <c r="C130" s="5" t="s">
        <v>349</v>
      </c>
      <c r="D130" s="19" t="e">
        <f>IF(Parameters!B6=0,Parameters!#REF!,0)</f>
        <v>#REF!</v>
      </c>
      <c r="E130" s="5" t="s">
        <v>164</v>
      </c>
      <c r="F130" s="5" t="e">
        <f>DEC2BIN(D130,1)</f>
        <v>#REF!</v>
      </c>
      <c r="G130" s="19" t="e">
        <f>CONCATENATE(F130:F135)</f>
        <v>#REF!</v>
      </c>
    </row>
    <row r="131" spans="1:8" x14ac:dyDescent="0.35">
      <c r="B131" s="5" t="s">
        <v>350</v>
      </c>
      <c r="C131" s="5" t="s">
        <v>129</v>
      </c>
      <c r="D131" s="19">
        <v>0</v>
      </c>
      <c r="E131" s="5" t="s">
        <v>164</v>
      </c>
      <c r="F131" s="5" t="str">
        <f>DEC2BIN(D131,6)</f>
        <v>000000</v>
      </c>
    </row>
    <row r="132" spans="1:8" x14ac:dyDescent="0.35">
      <c r="B132" s="5">
        <v>24</v>
      </c>
      <c r="C132" s="5" t="s">
        <v>351</v>
      </c>
      <c r="D132" s="19" t="e">
        <f>IF(Parameters!B6=0,Parameters!#REF!,0)</f>
        <v>#REF!</v>
      </c>
      <c r="E132" s="5" t="s">
        <v>164</v>
      </c>
      <c r="F132" s="5" t="e">
        <f>DEC2BIN(D132,1)</f>
        <v>#REF!</v>
      </c>
      <c r="G132" s="5" t="e">
        <f>BIN2HEX(MID(G130,1,8),2)</f>
        <v>#REF!</v>
      </c>
      <c r="H132" s="19" t="e">
        <f>CONCATENATE(G132:G135)</f>
        <v>#REF!</v>
      </c>
    </row>
    <row r="133" spans="1:8" x14ac:dyDescent="0.35">
      <c r="B133" s="5" t="s">
        <v>352</v>
      </c>
      <c r="C133" s="5" t="s">
        <v>129</v>
      </c>
      <c r="D133" s="19">
        <v>0</v>
      </c>
      <c r="E133" s="5" t="s">
        <v>164</v>
      </c>
      <c r="F133" s="5" t="str">
        <f>DEC2BIN(D133,10)</f>
        <v>0000000000</v>
      </c>
      <c r="G133" s="5" t="e">
        <f>BIN2HEX(MID(G130,9,8),2)</f>
        <v>#REF!</v>
      </c>
    </row>
    <row r="134" spans="1:8" x14ac:dyDescent="0.35">
      <c r="D134" s="19">
        <v>0</v>
      </c>
      <c r="F134" s="5" t="str">
        <f>DEC2BIN(D134,6)</f>
        <v>000000</v>
      </c>
      <c r="G134" s="5" t="e">
        <f>BIN2HEX(MID(G130,17,8),2)</f>
        <v>#REF!</v>
      </c>
    </row>
    <row r="135" spans="1:8" x14ac:dyDescent="0.35">
      <c r="B135" s="5" t="s">
        <v>257</v>
      </c>
      <c r="C135" s="5" t="s">
        <v>353</v>
      </c>
      <c r="D135" s="19" t="e">
        <f>IF(Parameters!B6=0,ROUNDUP(ROUNDUP(Parameters!#REF!/2,0)/32,0),0)</f>
        <v>#REF!</v>
      </c>
      <c r="E135" s="22" t="s">
        <v>463</v>
      </c>
      <c r="F135" s="5" t="e">
        <f>DEC2BIN(D135,8)</f>
        <v>#REF!</v>
      </c>
      <c r="G135" s="5" t="e">
        <f>BIN2HEX(MID(G130,25,8),2)</f>
        <v>#REF!</v>
      </c>
    </row>
    <row r="136" spans="1:8" x14ac:dyDescent="0.35">
      <c r="D136" s="19"/>
    </row>
    <row r="137" spans="1:8" x14ac:dyDescent="0.35">
      <c r="D137" s="19"/>
    </row>
    <row r="138" spans="1:8" x14ac:dyDescent="0.35">
      <c r="A138" s="5" t="s">
        <v>75</v>
      </c>
      <c r="B138" s="5" t="s">
        <v>130</v>
      </c>
      <c r="C138" s="5" t="s">
        <v>361</v>
      </c>
      <c r="D138" s="19">
        <f>ROUNDUP(Parameters!D99/2,0)</f>
        <v>0</v>
      </c>
      <c r="E138" s="5" t="s">
        <v>184</v>
      </c>
      <c r="F138" s="5" t="str">
        <f>DEC2BIN(D138,8)</f>
        <v>00000000</v>
      </c>
      <c r="G138" s="41" t="str">
        <f>F138&amp;F139&amp;F140&amp;F141&amp;F142&amp;F143&amp;F144</f>
        <v>00000000000000000000000000000000</v>
      </c>
    </row>
    <row r="139" spans="1:8" x14ac:dyDescent="0.35">
      <c r="B139" s="5" t="s">
        <v>273</v>
      </c>
      <c r="C139" s="5" t="s">
        <v>129</v>
      </c>
      <c r="D139" s="19">
        <v>0</v>
      </c>
      <c r="F139" s="5" t="str">
        <f>DEC2BIN(D139,3)</f>
        <v>000</v>
      </c>
    </row>
    <row r="140" spans="1:8" x14ac:dyDescent="0.35">
      <c r="B140" s="5" t="s">
        <v>200</v>
      </c>
      <c r="C140" s="5" t="s">
        <v>355</v>
      </c>
      <c r="D140" s="19">
        <f>ROUNDUP(Parameters!D100/2,0)</f>
        <v>0</v>
      </c>
      <c r="E140" s="5" t="s">
        <v>184</v>
      </c>
      <c r="F140" s="5" t="str">
        <f>DEC2BIN(D140,5)</f>
        <v>00000</v>
      </c>
      <c r="G140" s="5" t="str">
        <f>BIN2HEX(MID(G138,1,8),2)</f>
        <v>00</v>
      </c>
      <c r="H140" s="5" t="str">
        <f>G140&amp;G141&amp;G142&amp;G143</f>
        <v>00000000</v>
      </c>
    </row>
    <row r="141" spans="1:8" x14ac:dyDescent="0.35">
      <c r="B141" s="5" t="s">
        <v>358</v>
      </c>
      <c r="C141" s="5" t="s">
        <v>129</v>
      </c>
      <c r="D141" s="19">
        <v>0</v>
      </c>
      <c r="F141" s="5" t="str">
        <f>DEC2BIN(D141,5)</f>
        <v>00000</v>
      </c>
      <c r="G141" s="5" t="str">
        <f>BIN2HEX(MID(G138,9,8),2)</f>
        <v>00</v>
      </c>
    </row>
    <row r="142" spans="1:8" x14ac:dyDescent="0.35">
      <c r="B142" s="5" t="s">
        <v>359</v>
      </c>
      <c r="C142" s="5" t="s">
        <v>356</v>
      </c>
      <c r="D142" s="19">
        <f>ROUNDUP(Parameters!D101/2,0)</f>
        <v>0</v>
      </c>
      <c r="E142" s="5" t="s">
        <v>184</v>
      </c>
      <c r="F142" s="5" t="str">
        <f>DEC2BIN(D142,3)</f>
        <v>000</v>
      </c>
      <c r="G142" s="5" t="str">
        <f>BIN2HEX(MID(G138,17,8),2)</f>
        <v>00</v>
      </c>
    </row>
    <row r="143" spans="1:8" x14ac:dyDescent="0.35">
      <c r="B143" s="5" t="s">
        <v>360</v>
      </c>
      <c r="C143" s="5" t="s">
        <v>129</v>
      </c>
      <c r="D143" s="19">
        <v>0</v>
      </c>
      <c r="F143" s="5" t="str">
        <f>DEC2BIN(D143,5)</f>
        <v>00000</v>
      </c>
      <c r="G143" s="5" t="str">
        <f>BIN2HEX(MID(G138,25,8),2)</f>
        <v>00</v>
      </c>
    </row>
    <row r="144" spans="1:8" x14ac:dyDescent="0.35">
      <c r="B144" s="5" t="s">
        <v>182</v>
      </c>
      <c r="C144" s="5" t="s">
        <v>357</v>
      </c>
      <c r="D144" s="19">
        <f>ROUNDUP(Parameters!D102/2,0)</f>
        <v>0</v>
      </c>
      <c r="E144" s="5" t="s">
        <v>184</v>
      </c>
      <c r="F144" s="5" t="str">
        <f>DEC2BIN(D144,3)</f>
        <v>000</v>
      </c>
    </row>
    <row r="145" spans="1:8" x14ac:dyDescent="0.35">
      <c r="D145" s="19"/>
    </row>
    <row r="146" spans="1:8" x14ac:dyDescent="0.35">
      <c r="A146" s="5" t="s">
        <v>76</v>
      </c>
      <c r="B146" s="5" t="s">
        <v>130</v>
      </c>
      <c r="C146" s="5" t="s">
        <v>129</v>
      </c>
      <c r="D146" s="19">
        <v>0</v>
      </c>
      <c r="F146" s="5" t="str">
        <f>DEC2BIN(D146,8)</f>
        <v>00000000</v>
      </c>
      <c r="G146" s="41" t="str">
        <f>F146&amp;F147&amp;F148&amp;F149</f>
        <v>00000000000000000000000000000000</v>
      </c>
    </row>
    <row r="147" spans="1:8" ht="43.5" x14ac:dyDescent="0.35">
      <c r="B147" s="5" t="s">
        <v>131</v>
      </c>
      <c r="C147" s="5" t="s">
        <v>185</v>
      </c>
      <c r="D147" s="19">
        <f>IF(Parameters!B6=1,IF(Parameters!B9=1,ROUNDUP(Parameters!D62/2,0),0),0)</f>
        <v>0</v>
      </c>
      <c r="E147" s="22" t="s">
        <v>377</v>
      </c>
      <c r="F147" s="5" t="str">
        <f>DEC2BIN(D147,8)</f>
        <v>00000000</v>
      </c>
      <c r="G147" s="5" t="str">
        <f>BIN2HEX(MID(G146,1,8),2)</f>
        <v>00</v>
      </c>
      <c r="H147" s="5" t="str">
        <f>G147&amp;G148&amp;G149&amp;G150</f>
        <v>00000000</v>
      </c>
    </row>
    <row r="148" spans="1:8" x14ac:dyDescent="0.35">
      <c r="B148" s="5" t="s">
        <v>187</v>
      </c>
      <c r="C148" s="5" t="s">
        <v>129</v>
      </c>
      <c r="D148" s="19">
        <v>0</v>
      </c>
      <c r="F148" s="5" t="str">
        <f>DEC2BIN(D148,9)</f>
        <v>000000000</v>
      </c>
      <c r="G148" s="5" t="str">
        <f>BIN2HEX(MID(G146,9,8),2)</f>
        <v>00</v>
      </c>
    </row>
    <row r="149" spans="1:8" ht="43.5" x14ac:dyDescent="0.35">
      <c r="B149" s="5" t="s">
        <v>188</v>
      </c>
      <c r="C149" s="5" t="s">
        <v>189</v>
      </c>
      <c r="D149" s="19">
        <f>IF(Parameters!B6=1,IF(Parameters!B9=1,ROUNDUP(Parameters!D63/2,0),0),0)</f>
        <v>0</v>
      </c>
      <c r="E149" s="22" t="s">
        <v>377</v>
      </c>
      <c r="F149" s="5" t="str">
        <f>DEC2BIN(D149,7)</f>
        <v>0000000</v>
      </c>
      <c r="G149" s="5" t="str">
        <f>BIN2HEX(MID(G146,17,8),2)</f>
        <v>00</v>
      </c>
    </row>
    <row r="150" spans="1:8" x14ac:dyDescent="0.35">
      <c r="D150" s="19"/>
      <c r="G150" s="5" t="str">
        <f>BIN2HEX(MID(G146,25,8),2)</f>
        <v>00</v>
      </c>
    </row>
    <row r="151" spans="1:8" ht="58" x14ac:dyDescent="0.35">
      <c r="A151" s="19" t="s">
        <v>57</v>
      </c>
      <c r="B151" s="5">
        <v>31</v>
      </c>
      <c r="C151" s="5" t="s">
        <v>233</v>
      </c>
      <c r="D151" s="19">
        <f>IF(Parameters!B6=0,0,IF(Parameters!B8=1,Parameters!D67,0))</f>
        <v>0</v>
      </c>
      <c r="E151" s="22" t="s">
        <v>251</v>
      </c>
      <c r="F151" s="5" t="str">
        <f>DEC2BIN(D151,1)</f>
        <v>0</v>
      </c>
      <c r="G151" s="41" t="str">
        <f>F151&amp;F152&amp;F153&amp;F154&amp;F155&amp;F156&amp;F157</f>
        <v>00000000101000100000000010101110</v>
      </c>
    </row>
    <row r="152" spans="1:8" x14ac:dyDescent="0.35">
      <c r="B152" s="5" t="s">
        <v>234</v>
      </c>
      <c r="C152" s="5" t="s">
        <v>129</v>
      </c>
      <c r="D152" s="19">
        <v>0</v>
      </c>
      <c r="F152" s="5" t="str">
        <f>DEC2BIN(D152,3)</f>
        <v>000</v>
      </c>
    </row>
    <row r="153" spans="1:8" x14ac:dyDescent="0.35">
      <c r="C153" s="5" t="s">
        <v>292</v>
      </c>
      <c r="D153" s="19">
        <v>0</v>
      </c>
      <c r="E153" s="5">
        <f>IF(D151=0,ROUNDDOWN(IF(Parameters!B8=0,ROUNDDOWN(Parameters!D13/2,0),ROUNDDOWN(Parameters!D46/2,0))/32,0),IF(Parameters!B8=0,ROUNDDOWN(Parameters!D13/2,0),ROUNDDOWN(Parameters!D46/2,0)))</f>
        <v>162</v>
      </c>
      <c r="F153" s="5" t="str">
        <f>DEC2BIN(D153,2)</f>
        <v>00</v>
      </c>
      <c r="G153" s="5" t="str">
        <f>BIN2HEX(MID(G151,1,8),2)</f>
        <v>00</v>
      </c>
      <c r="H153" s="5" t="str">
        <f>G153&amp;G154&amp;G155&amp;G156</f>
        <v>00A200AE</v>
      </c>
    </row>
    <row r="154" spans="1:8" x14ac:dyDescent="0.35">
      <c r="B154" s="4" t="s">
        <v>231</v>
      </c>
      <c r="C154" s="5" t="s">
        <v>85</v>
      </c>
      <c r="D154" s="19">
        <f>IF(Parameters!B6=0,IF(D151=0,ROUNDDOWN(ROUNDDOWN(Parameters!D13/2,0)/32,0),ROUNDDOWN(Parameters!D13/2,0)),Registers_Calculation!E153)</f>
        <v>162</v>
      </c>
      <c r="E154" s="22"/>
      <c r="F154" s="5" t="str">
        <f>DEC2BIN(D154,10)</f>
        <v>0010100010</v>
      </c>
      <c r="G154" s="5" t="str">
        <f>BIN2HEX(MID(G151,9,8),2)</f>
        <v>A2</v>
      </c>
    </row>
    <row r="155" spans="1:8" x14ac:dyDescent="0.35">
      <c r="B155" s="5">
        <v>15</v>
      </c>
      <c r="C155" s="5" t="s">
        <v>235</v>
      </c>
      <c r="D155" s="19">
        <v>0</v>
      </c>
      <c r="E155" s="5" t="s">
        <v>253</v>
      </c>
      <c r="F155" s="5" t="str">
        <f>DEC2BIN(D155,1)</f>
        <v>0</v>
      </c>
      <c r="G155" s="5" t="str">
        <f>BIN2HEX(MID(G151,17,8),2)</f>
        <v>00</v>
      </c>
    </row>
    <row r="156" spans="1:8" x14ac:dyDescent="0.35">
      <c r="B156" s="5" t="s">
        <v>236</v>
      </c>
      <c r="C156" s="5" t="s">
        <v>129</v>
      </c>
      <c r="D156" s="19">
        <v>0</v>
      </c>
      <c r="F156" s="5" t="str">
        <f>DEC2BIN(D156,5)</f>
        <v>00000</v>
      </c>
      <c r="G156" s="5" t="str">
        <f>BIN2HEX(MID(G151,25,8),2)</f>
        <v>AE</v>
      </c>
    </row>
    <row r="157" spans="1:8" x14ac:dyDescent="0.35">
      <c r="B157" s="5" t="s">
        <v>222</v>
      </c>
      <c r="C157" s="5" t="s">
        <v>237</v>
      </c>
      <c r="D157" s="19">
        <f>IF(Parameters!B6=0,ROUNDUP(Parameters!D72/2,0),IF(Parameters!B8=0,ROUNDUP(Parameters!D47/2,0),ROUNDUP(Parameters!D48/2,0)))</f>
        <v>174</v>
      </c>
      <c r="F157" s="5" t="str">
        <f>DEC2BIN(D157,10)</f>
        <v>0010101110</v>
      </c>
    </row>
    <row r="158" spans="1:8" x14ac:dyDescent="0.35">
      <c r="D158" s="19"/>
    </row>
    <row r="159" spans="1:8" x14ac:dyDescent="0.35">
      <c r="A159" s="5" t="s">
        <v>58</v>
      </c>
      <c r="B159" s="5" t="s">
        <v>130</v>
      </c>
      <c r="C159" s="5" t="s">
        <v>129</v>
      </c>
      <c r="D159" s="19">
        <v>0</v>
      </c>
      <c r="F159" s="5" t="str">
        <f>DEC2BIN(D159,8)</f>
        <v>00000000</v>
      </c>
      <c r="G159" s="41" t="str">
        <f>F159&amp;F160&amp;F161&amp;F162</f>
        <v>00000000000000000000000000000000</v>
      </c>
    </row>
    <row r="160" spans="1:8" x14ac:dyDescent="0.35">
      <c r="B160" s="5" t="s">
        <v>131</v>
      </c>
      <c r="C160" s="5" t="s">
        <v>256</v>
      </c>
      <c r="D160" s="19">
        <f>IF(Parameters!B6=0,0,IF(Parameters!B8=1,ROUNDUP(Parameters!D49/2,0),0))</f>
        <v>0</v>
      </c>
      <c r="E160" s="5" t="s">
        <v>375</v>
      </c>
      <c r="F160" s="5" t="str">
        <f>DEC2BIN(D160,8)</f>
        <v>00000000</v>
      </c>
      <c r="G160" s="5" t="str">
        <f>BIN2HEX(MID(G159,1,8),2)</f>
        <v>00</v>
      </c>
      <c r="H160" s="5" t="str">
        <f>G160&amp;G161&amp;G162&amp;G163</f>
        <v>00000000</v>
      </c>
    </row>
    <row r="161" spans="1:8" x14ac:dyDescent="0.35">
      <c r="B161" s="5" t="s">
        <v>132</v>
      </c>
      <c r="C161" s="5" t="s">
        <v>129</v>
      </c>
      <c r="D161" s="19">
        <v>0</v>
      </c>
      <c r="F161" s="5" t="str">
        <f>DEC2BIN(D161,8)</f>
        <v>00000000</v>
      </c>
      <c r="G161" s="5" t="str">
        <f>BIN2HEX(MID(G159,9,8),2)</f>
        <v>00</v>
      </c>
    </row>
    <row r="162" spans="1:8" x14ac:dyDescent="0.35">
      <c r="B162" s="5" t="s">
        <v>257</v>
      </c>
      <c r="C162" s="5" t="s">
        <v>258</v>
      </c>
      <c r="D162" s="19">
        <f>ROUNDUP(Parameters!D98/2,0)</f>
        <v>0</v>
      </c>
      <c r="E162" s="5" t="s">
        <v>184</v>
      </c>
      <c r="F162" s="5" t="str">
        <f>DEC2BIN(D162,8)</f>
        <v>00000000</v>
      </c>
      <c r="G162" s="5" t="str">
        <f>BIN2HEX(MID(G159,17,8),2)</f>
        <v>00</v>
      </c>
    </row>
    <row r="163" spans="1:8" x14ac:dyDescent="0.35">
      <c r="D163" s="19"/>
      <c r="G163" s="5" t="str">
        <f>BIN2HEX(MID(G159,25,8),2)</f>
        <v>00</v>
      </c>
    </row>
    <row r="164" spans="1:8" x14ac:dyDescent="0.35">
      <c r="A164" s="5" t="s">
        <v>77</v>
      </c>
      <c r="B164" s="5">
        <v>31</v>
      </c>
      <c r="C164" s="5" t="s">
        <v>238</v>
      </c>
      <c r="D164" s="19">
        <f>Parameters!D34</f>
        <v>1</v>
      </c>
      <c r="E164" s="5" t="s">
        <v>245</v>
      </c>
      <c r="F164" s="5" t="str">
        <f t="shared" ref="F164:F169" si="1">DEC2BIN(D164,1)</f>
        <v>1</v>
      </c>
    </row>
    <row r="165" spans="1:8" x14ac:dyDescent="0.35">
      <c r="B165" s="5">
        <v>30</v>
      </c>
      <c r="C165" s="5" t="s">
        <v>241</v>
      </c>
      <c r="D165" s="19">
        <f>Parameters!D35</f>
        <v>1</v>
      </c>
      <c r="E165" s="5" t="s">
        <v>245</v>
      </c>
      <c r="F165" s="5" t="str">
        <f t="shared" si="1"/>
        <v>1</v>
      </c>
      <c r="G165" s="41" t="str">
        <f>BIN2HEX(F164&amp;F165&amp;F166&amp;F167,1)</f>
        <v>C</v>
      </c>
    </row>
    <row r="166" spans="1:8" x14ac:dyDescent="0.35">
      <c r="B166" s="5">
        <v>29</v>
      </c>
      <c r="C166" s="5" t="s">
        <v>242</v>
      </c>
      <c r="D166" s="19">
        <f>Parameters!D36</f>
        <v>0</v>
      </c>
      <c r="E166" s="5" t="s">
        <v>245</v>
      </c>
      <c r="F166" s="5" t="str">
        <f t="shared" si="1"/>
        <v>0</v>
      </c>
      <c r="G166" s="5" t="str">
        <f>DEC2HEX(D168+D169+D170,3)</f>
        <v>100</v>
      </c>
      <c r="H166" s="5" t="str">
        <f>G165&amp;G166&amp;G167</f>
        <v>C1000040</v>
      </c>
    </row>
    <row r="167" spans="1:8" x14ac:dyDescent="0.35">
      <c r="B167" s="5">
        <v>28</v>
      </c>
      <c r="C167" s="19" t="s">
        <v>243</v>
      </c>
      <c r="D167" s="19">
        <f>IF(Parameters!B6=0,Parameters!D71,0)</f>
        <v>0</v>
      </c>
      <c r="E167" s="5" t="s">
        <v>245</v>
      </c>
      <c r="F167" s="5" t="str">
        <f t="shared" si="1"/>
        <v>0</v>
      </c>
      <c r="G167" s="5" t="str">
        <f>DEC2HEX(D172+D171,4)</f>
        <v>0040</v>
      </c>
    </row>
    <row r="168" spans="1:8" x14ac:dyDescent="0.35">
      <c r="B168" s="5">
        <v>27</v>
      </c>
      <c r="C168" s="19" t="s">
        <v>129</v>
      </c>
      <c r="D168" s="19">
        <v>0</v>
      </c>
      <c r="F168" s="5" t="str">
        <f t="shared" si="1"/>
        <v>0</v>
      </c>
    </row>
    <row r="169" spans="1:8" x14ac:dyDescent="0.35">
      <c r="C169" s="19"/>
      <c r="D169" s="19">
        <v>0</v>
      </c>
      <c r="F169" s="5" t="str">
        <f t="shared" si="1"/>
        <v>0</v>
      </c>
    </row>
    <row r="170" spans="1:8" x14ac:dyDescent="0.35">
      <c r="B170" s="5" t="s">
        <v>239</v>
      </c>
      <c r="C170" s="19" t="s">
        <v>244</v>
      </c>
      <c r="D170" s="5">
        <f>IF(Parameters!B6=0,ROUNDUP(Parameters!D77/2,0),ROUNDUP(Parameters!D64/2,0))</f>
        <v>256</v>
      </c>
      <c r="F170" s="5" t="str">
        <f>DEC2BIN(D170,10)</f>
        <v>0100000000</v>
      </c>
    </row>
    <row r="171" spans="1:8" x14ac:dyDescent="0.35">
      <c r="B171" s="5" t="s">
        <v>240</v>
      </c>
      <c r="C171" s="19" t="s">
        <v>129</v>
      </c>
      <c r="D171" s="5">
        <v>0</v>
      </c>
      <c r="F171" s="5" t="str">
        <f>DEC2BIN(D171,6)</f>
        <v>000000</v>
      </c>
    </row>
    <row r="172" spans="1:8" x14ac:dyDescent="0.35">
      <c r="B172" s="5" t="s">
        <v>222</v>
      </c>
      <c r="C172" s="19" t="s">
        <v>246</v>
      </c>
      <c r="D172" s="5">
        <f>IF(Parameters!B6=0,ROUNDUP(Parameters!D78/2,0),ROUNDUP(Parameters!D65/2,0))</f>
        <v>64</v>
      </c>
      <c r="F172" s="5" t="str">
        <f t="shared" ref="F172:F177" si="2">DEC2BIN(D172,10)</f>
        <v>0001000000</v>
      </c>
    </row>
    <row r="174" spans="1:8" x14ac:dyDescent="0.35">
      <c r="A174" s="5" t="s">
        <v>78</v>
      </c>
      <c r="B174" s="5" t="s">
        <v>137</v>
      </c>
      <c r="C174" s="5" t="s">
        <v>129</v>
      </c>
      <c r="D174" s="5">
        <v>0</v>
      </c>
      <c r="F174" s="5" t="str">
        <f>DEC2BIN(D174,2)</f>
        <v>00</v>
      </c>
      <c r="G174" s="41" t="str">
        <f>F174&amp;F175&amp;F176&amp;F177</f>
        <v>00000000000000000000000000000000</v>
      </c>
    </row>
    <row r="175" spans="1:8" x14ac:dyDescent="0.35">
      <c r="B175" s="5" t="s">
        <v>216</v>
      </c>
      <c r="C175" s="5" t="s">
        <v>248</v>
      </c>
      <c r="D175" s="5">
        <f>ROUNDUP(Parameters!D66/2,0)</f>
        <v>0</v>
      </c>
      <c r="F175" s="5" t="str">
        <f t="shared" si="2"/>
        <v>0000000000</v>
      </c>
      <c r="G175" s="5" t="str">
        <f>BIN2HEX(MID(G174,1,8),2)</f>
        <v>00</v>
      </c>
      <c r="H175" s="5" t="str">
        <f>G175&amp;G176&amp;G177&amp;G178</f>
        <v>00000000</v>
      </c>
    </row>
    <row r="176" spans="1:8" x14ac:dyDescent="0.35">
      <c r="D176" s="5">
        <v>0</v>
      </c>
      <c r="F176" s="5" t="str">
        <f t="shared" si="2"/>
        <v>0000000000</v>
      </c>
      <c r="G176" s="5" t="str">
        <f>BIN2HEX(MID(G174,9,8),2)</f>
        <v>00</v>
      </c>
    </row>
    <row r="177" spans="1:8" x14ac:dyDescent="0.35">
      <c r="B177" s="5" t="s">
        <v>247</v>
      </c>
      <c r="C177" s="19" t="s">
        <v>250</v>
      </c>
      <c r="D177" s="5">
        <f>IF(D164=1,0,Parameters!D37)</f>
        <v>0</v>
      </c>
      <c r="F177" s="5" t="str">
        <f t="shared" si="2"/>
        <v>0000000000</v>
      </c>
      <c r="G177" s="5" t="str">
        <f>BIN2HEX(MID(G174,17,8),2)</f>
        <v>00</v>
      </c>
    </row>
    <row r="178" spans="1:8" x14ac:dyDescent="0.35">
      <c r="G178" s="5" t="str">
        <f>BIN2HEX(MID(G174,25,8),2)</f>
        <v>00</v>
      </c>
    </row>
    <row r="179" spans="1:8" x14ac:dyDescent="0.35">
      <c r="A179" s="5" t="s">
        <v>79</v>
      </c>
      <c r="B179" s="5" t="s">
        <v>225</v>
      </c>
      <c r="C179" s="5" t="s">
        <v>129</v>
      </c>
      <c r="D179" s="5">
        <v>0</v>
      </c>
      <c r="F179" s="5" t="str">
        <f>DEC2BIN(D179,3)</f>
        <v>000</v>
      </c>
      <c r="G179" s="41" t="str">
        <f>F179&amp;F180&amp;F181&amp;F182&amp;F183&amp;F184&amp;F185&amp;F186&amp;F187</f>
        <v>00000011000001110000000100000111</v>
      </c>
    </row>
    <row r="180" spans="1:8" x14ac:dyDescent="0.35">
      <c r="B180" s="5" t="s">
        <v>226</v>
      </c>
      <c r="C180" s="5" t="s">
        <v>259</v>
      </c>
      <c r="D180" s="5">
        <f>ROUNDUP(Parameters!D122/2,0)</f>
        <v>3</v>
      </c>
      <c r="F180" s="5" t="str">
        <f>DEC2BIN(D180,5)</f>
        <v>00011</v>
      </c>
    </row>
    <row r="181" spans="1:8" x14ac:dyDescent="0.35">
      <c r="B181" s="5">
        <v>23</v>
      </c>
      <c r="C181" s="5" t="s">
        <v>263</v>
      </c>
      <c r="D181" s="5">
        <f>Parameters!D110</f>
        <v>0</v>
      </c>
      <c r="E181" s="5" t="s">
        <v>245</v>
      </c>
      <c r="F181" s="5" t="str">
        <f>DEC2BIN(D181,1)</f>
        <v>0</v>
      </c>
      <c r="G181" s="5" t="str">
        <f>BIN2HEX(MID(G179,1,8),2)</f>
        <v>03</v>
      </c>
      <c r="H181" s="5" t="str">
        <f>G181&amp;G182&amp;G183&amp;G184</f>
        <v>03070107</v>
      </c>
    </row>
    <row r="182" spans="1:8" x14ac:dyDescent="0.35">
      <c r="B182" s="5" t="s">
        <v>268</v>
      </c>
      <c r="C182" s="5" t="s">
        <v>260</v>
      </c>
      <c r="D182" s="5">
        <f>IF(D181=0,ROUNDUP(Parameters!D123/2,0),Parameters!D123)</f>
        <v>7</v>
      </c>
      <c r="F182" s="5" t="str">
        <f>DEC2BIN(D182,7)</f>
        <v>0000111</v>
      </c>
      <c r="G182" s="5" t="str">
        <f>BIN2HEX(MID(G179,9,8),2)</f>
        <v>07</v>
      </c>
    </row>
    <row r="183" spans="1:8" x14ac:dyDescent="0.35">
      <c r="B183" s="5">
        <v>15</v>
      </c>
      <c r="C183" s="5" t="s">
        <v>264</v>
      </c>
      <c r="D183" s="5">
        <f>Parameters!D111</f>
        <v>0</v>
      </c>
      <c r="E183" s="5" t="s">
        <v>245</v>
      </c>
      <c r="F183" s="5" t="str">
        <f>DEC2BIN(D183,1)</f>
        <v>0</v>
      </c>
      <c r="G183" s="5" t="str">
        <f>BIN2HEX(MID(G179,17,8),2)</f>
        <v>01</v>
      </c>
    </row>
    <row r="184" spans="1:8" x14ac:dyDescent="0.35">
      <c r="B184" s="5">
        <v>14</v>
      </c>
      <c r="C184" s="5" t="s">
        <v>129</v>
      </c>
      <c r="D184" s="5">
        <v>0</v>
      </c>
      <c r="F184" s="5" t="str">
        <f>DEC2BIN(D184,1)</f>
        <v>0</v>
      </c>
      <c r="G184" s="5" t="str">
        <f>BIN2HEX(MID(G179,25,8),2)</f>
        <v>07</v>
      </c>
    </row>
    <row r="185" spans="1:8" x14ac:dyDescent="0.35">
      <c r="B185" s="5" t="s">
        <v>149</v>
      </c>
      <c r="C185" s="5" t="s">
        <v>261</v>
      </c>
      <c r="D185" s="5">
        <f>IF(D183=0,ROUNDUP(Parameters!D106/2,0),Parameters!D106)</f>
        <v>1</v>
      </c>
      <c r="F185" s="5" t="str">
        <f>DEC2BIN(D185,6)</f>
        <v>000001</v>
      </c>
    </row>
    <row r="186" spans="1:8" x14ac:dyDescent="0.35">
      <c r="B186" s="5" t="s">
        <v>196</v>
      </c>
      <c r="C186" s="5" t="s">
        <v>129</v>
      </c>
      <c r="D186" s="5">
        <v>0</v>
      </c>
      <c r="F186" s="5" t="str">
        <f>DEC2BIN(D186,2)</f>
        <v>00</v>
      </c>
    </row>
    <row r="187" spans="1:8" x14ac:dyDescent="0.35">
      <c r="B187" s="5" t="s">
        <v>197</v>
      </c>
      <c r="C187" s="5" t="s">
        <v>262</v>
      </c>
      <c r="D187" s="5">
        <f>IF(D183=0,ROUNDUP(Parameters!D124/2,0),Parameters!D124)</f>
        <v>7</v>
      </c>
      <c r="F187" s="5" t="str">
        <f>DEC2BIN(D187,6)</f>
        <v>000111</v>
      </c>
    </row>
    <row r="189" spans="1:8" x14ac:dyDescent="0.35">
      <c r="A189" s="5" t="s">
        <v>80</v>
      </c>
      <c r="B189" s="5" t="s">
        <v>141</v>
      </c>
      <c r="C189" s="19" t="s">
        <v>269</v>
      </c>
      <c r="D189" s="5">
        <f>IF(Parameters!B6=0,Parameters!D83,0)</f>
        <v>0</v>
      </c>
      <c r="E189" s="5" t="s">
        <v>426</v>
      </c>
      <c r="F189" s="5" t="str">
        <f>DEC2BIN(D189,4)</f>
        <v>0000</v>
      </c>
      <c r="G189" s="41" t="str">
        <f>F189&amp;F190&amp;F191&amp;F192&amp;F193&amp;F194&amp;F195&amp;F196&amp;F197</f>
        <v>00000000000010100000001000000010</v>
      </c>
    </row>
    <row r="190" spans="1:8" x14ac:dyDescent="0.35">
      <c r="B190" s="5" t="s">
        <v>270</v>
      </c>
      <c r="C190" s="5" t="s">
        <v>129</v>
      </c>
      <c r="D190" s="5">
        <v>0</v>
      </c>
      <c r="F190" s="5" t="str">
        <f>DEC2BIN(D190,2)</f>
        <v>00</v>
      </c>
    </row>
    <row r="191" spans="1:8" x14ac:dyDescent="0.35">
      <c r="B191" s="5" t="s">
        <v>272</v>
      </c>
      <c r="C191" s="19" t="s">
        <v>271</v>
      </c>
      <c r="D191" s="5">
        <f>IF(Parameters!B6=0,Parameters!D105,0)</f>
        <v>0</v>
      </c>
      <c r="E191" s="5" t="s">
        <v>427</v>
      </c>
      <c r="F191" s="5" t="str">
        <f>DEC2BIN(D191,2)</f>
        <v>00</v>
      </c>
      <c r="G191" s="5" t="str">
        <f>BIN2HEX(MID(G189,1,8),2)</f>
        <v>00</v>
      </c>
      <c r="H191" s="5" t="str">
        <f>G191&amp;G192&amp;G193&amp;G194</f>
        <v>000A0202</v>
      </c>
    </row>
    <row r="192" spans="1:8" x14ac:dyDescent="0.35">
      <c r="B192" s="5" t="s">
        <v>273</v>
      </c>
      <c r="C192" s="5" t="s">
        <v>129</v>
      </c>
      <c r="D192" s="5">
        <v>0</v>
      </c>
      <c r="F192" s="5" t="str">
        <f>DEC2BIN(D192,3)</f>
        <v>000</v>
      </c>
      <c r="G192" s="5" t="str">
        <f>BIN2HEX(MID(G189,9,8),2)</f>
        <v>0A</v>
      </c>
    </row>
    <row r="193" spans="1:8" x14ac:dyDescent="0.35">
      <c r="B193" s="5" t="s">
        <v>200</v>
      </c>
      <c r="C193" s="5" t="s">
        <v>265</v>
      </c>
      <c r="D193" s="5">
        <f>IF(D183=1,ROUNDUP(Parameters!D125/2,0)+1,ROUNDUP(Parameters!D125/2,0))</f>
        <v>10</v>
      </c>
      <c r="F193" s="5" t="str">
        <f>DEC2BIN(D193,5)</f>
        <v>01010</v>
      </c>
      <c r="G193" s="5" t="str">
        <f>BIN2HEX(MID(G189,17,8),2)</f>
        <v>02</v>
      </c>
    </row>
    <row r="194" spans="1:8" x14ac:dyDescent="0.35">
      <c r="B194" s="5" t="s">
        <v>275</v>
      </c>
      <c r="C194" s="5" t="s">
        <v>129</v>
      </c>
      <c r="D194" s="5">
        <v>0</v>
      </c>
      <c r="F194" s="5" t="str">
        <f>DEC2BIN(D194,3)</f>
        <v>000</v>
      </c>
      <c r="G194" s="5" t="str">
        <f>BIN2HEX(MID(G189,25,8),2)</f>
        <v>02</v>
      </c>
    </row>
    <row r="195" spans="1:8" x14ac:dyDescent="0.35">
      <c r="B195" s="5" t="s">
        <v>274</v>
      </c>
      <c r="C195" s="5" t="s">
        <v>266</v>
      </c>
      <c r="D195" s="5">
        <f>ROUNDUP(Parameters!D126/2,0)</f>
        <v>2</v>
      </c>
      <c r="F195" s="5" t="str">
        <f>DEC2BIN(D195,5)</f>
        <v>00010</v>
      </c>
    </row>
    <row r="196" spans="1:8" x14ac:dyDescent="0.35">
      <c r="B196" s="5" t="s">
        <v>133</v>
      </c>
      <c r="C196" s="5" t="s">
        <v>129</v>
      </c>
      <c r="D196" s="5">
        <v>0</v>
      </c>
      <c r="F196" s="5" t="str">
        <f>DEC2BIN(D196,3)</f>
        <v>000</v>
      </c>
    </row>
    <row r="197" spans="1:8" x14ac:dyDescent="0.35">
      <c r="B197" s="5" t="s">
        <v>134</v>
      </c>
      <c r="C197" s="5" t="s">
        <v>267</v>
      </c>
      <c r="D197" s="5">
        <f>ROUNDUP(Parameters!D127/2,0)</f>
        <v>2</v>
      </c>
      <c r="F197" s="5" t="str">
        <f>DEC2BIN(D197,5)</f>
        <v>00010</v>
      </c>
    </row>
    <row r="200" spans="1:8" x14ac:dyDescent="0.35">
      <c r="A200" s="5" t="s">
        <v>81</v>
      </c>
      <c r="B200" s="5">
        <v>31</v>
      </c>
      <c r="C200" s="5" t="s">
        <v>278</v>
      </c>
      <c r="D200" s="5">
        <f>Parameters!D112</f>
        <v>1</v>
      </c>
      <c r="E200" s="5" t="s">
        <v>211</v>
      </c>
      <c r="F200" s="5" t="str">
        <f>DEC2BIN(D200,1)</f>
        <v>1</v>
      </c>
      <c r="G200" s="41" t="str">
        <f>F200&amp;F201&amp;F202&amp;F203&amp;F204&amp;F205&amp;F206</f>
        <v>11000000001100000000000000011000</v>
      </c>
    </row>
    <row r="201" spans="1:8" x14ac:dyDescent="0.35">
      <c r="B201" s="5">
        <v>30</v>
      </c>
      <c r="C201" s="5" t="s">
        <v>279</v>
      </c>
      <c r="D201" s="5">
        <f>Parameters!D113</f>
        <v>1</v>
      </c>
      <c r="E201" s="5" t="s">
        <v>211</v>
      </c>
      <c r="F201" s="5" t="str">
        <f>DEC2BIN(D201,1)</f>
        <v>1</v>
      </c>
    </row>
    <row r="202" spans="1:8" x14ac:dyDescent="0.35">
      <c r="B202" s="5">
        <v>29</v>
      </c>
      <c r="C202" s="5" t="s">
        <v>280</v>
      </c>
      <c r="D202" s="5">
        <f>Parameters!D114</f>
        <v>0</v>
      </c>
      <c r="E202" s="5" t="s">
        <v>211</v>
      </c>
      <c r="F202" s="5" t="str">
        <f>DEC2BIN(D202,1)</f>
        <v>0</v>
      </c>
      <c r="G202" s="5" t="str">
        <f>BIN2HEX(MID(G200,1,8),2)</f>
        <v>C0</v>
      </c>
      <c r="H202" s="5" t="str">
        <f>G202&amp;G203&amp;G204&amp;G205</f>
        <v>C0300018</v>
      </c>
    </row>
    <row r="203" spans="1:8" x14ac:dyDescent="0.35">
      <c r="B203" s="5" t="s">
        <v>277</v>
      </c>
      <c r="C203" s="5" t="s">
        <v>129</v>
      </c>
      <c r="D203" s="5">
        <v>0</v>
      </c>
      <c r="F203" s="5" t="str">
        <f>DEC2BIN(D203,3)</f>
        <v>000</v>
      </c>
      <c r="G203" s="5" t="str">
        <f>BIN2HEX(MID(G200,9,8),2)</f>
        <v>30</v>
      </c>
    </row>
    <row r="204" spans="1:8" x14ac:dyDescent="0.35">
      <c r="B204" s="5" t="s">
        <v>138</v>
      </c>
      <c r="C204" s="5" t="s">
        <v>281</v>
      </c>
      <c r="D204" s="5">
        <f>Parameters!D107</f>
        <v>48</v>
      </c>
      <c r="F204" s="5" t="str">
        <f>DEC2BIN(D204,10)</f>
        <v>0000110000</v>
      </c>
      <c r="G204" s="5" t="str">
        <f>BIN2HEX(MID(G200,17,8),2)</f>
        <v>00</v>
      </c>
    </row>
    <row r="205" spans="1:8" x14ac:dyDescent="0.35">
      <c r="B205" s="5" t="s">
        <v>240</v>
      </c>
      <c r="C205" s="5" t="s">
        <v>129</v>
      </c>
      <c r="D205" s="5">
        <v>0</v>
      </c>
      <c r="F205" s="5" t="str">
        <f>DEC2BIN(D205,6)</f>
        <v>000000</v>
      </c>
      <c r="G205" s="5" t="str">
        <f>BIN2HEX(MID(G200,25,8),2)</f>
        <v>18</v>
      </c>
    </row>
    <row r="206" spans="1:8" x14ac:dyDescent="0.35">
      <c r="B206" s="5" t="s">
        <v>222</v>
      </c>
      <c r="C206" s="5" t="s">
        <v>282</v>
      </c>
      <c r="D206" s="5">
        <f>Parameters!D108</f>
        <v>24</v>
      </c>
      <c r="F206" s="5" t="str">
        <f>DEC2BIN(D206,10)</f>
        <v>0000011000</v>
      </c>
    </row>
    <row r="209" spans="1:8" x14ac:dyDescent="0.35">
      <c r="A209" s="5" t="s">
        <v>82</v>
      </c>
      <c r="B209" s="5" t="s">
        <v>283</v>
      </c>
      <c r="C209" s="5" t="s">
        <v>129</v>
      </c>
      <c r="D209" s="5">
        <v>0</v>
      </c>
      <c r="F209" s="5" t="str">
        <f>DEC2BIN(D209,10)</f>
        <v>0000000000</v>
      </c>
      <c r="G209" s="41" t="str">
        <f>F209&amp;F210&amp;F211&amp;F212&amp;F213</f>
        <v>00000000000000000000110100001101</v>
      </c>
    </row>
    <row r="210" spans="1:8" x14ac:dyDescent="0.35">
      <c r="C210" s="5" t="s">
        <v>294</v>
      </c>
      <c r="D210" s="5">
        <v>0</v>
      </c>
      <c r="F210" s="5" t="str">
        <f>DEC2BIN(D210,7)</f>
        <v>0000000</v>
      </c>
    </row>
    <row r="211" spans="1:8" x14ac:dyDescent="0.35">
      <c r="B211" s="5" t="s">
        <v>194</v>
      </c>
      <c r="C211" s="5" t="s">
        <v>284</v>
      </c>
      <c r="D211" s="5">
        <f>Parameters!D128</f>
        <v>13</v>
      </c>
      <c r="E211" s="5" t="s">
        <v>428</v>
      </c>
      <c r="F211" s="5" t="str">
        <f>DEC2BIN(D211,7)</f>
        <v>0001101</v>
      </c>
      <c r="G211" s="5" t="str">
        <f>BIN2HEX(MID(G209,1,8),2)</f>
        <v>00</v>
      </c>
    </row>
    <row r="212" spans="1:8" x14ac:dyDescent="0.35">
      <c r="B212" s="5" t="s">
        <v>196</v>
      </c>
      <c r="C212" s="5" t="s">
        <v>129</v>
      </c>
      <c r="D212" s="5">
        <v>0</v>
      </c>
      <c r="F212" s="5" t="str">
        <f>DEC2BIN(D212,2)</f>
        <v>00</v>
      </c>
      <c r="G212" s="5" t="str">
        <f>BIN2HEX(MID(G209,9,8),2)</f>
        <v>00</v>
      </c>
      <c r="H212" s="5" t="str">
        <f>G211&amp;G212&amp;G213&amp;G214</f>
        <v>00000D0D</v>
      </c>
    </row>
    <row r="213" spans="1:8" x14ac:dyDescent="0.35">
      <c r="B213" s="5" t="s">
        <v>197</v>
      </c>
      <c r="C213" s="5" t="s">
        <v>285</v>
      </c>
      <c r="D213" s="5">
        <f>Parameters!D129</f>
        <v>13.5</v>
      </c>
      <c r="E213" s="5" t="s">
        <v>428</v>
      </c>
      <c r="F213" s="5" t="str">
        <f>DEC2BIN(D213,6)</f>
        <v>001101</v>
      </c>
      <c r="G213" s="5" t="str">
        <f>BIN2HEX(MID(G209,17,8),2)</f>
        <v>0D</v>
      </c>
    </row>
    <row r="214" spans="1:8" x14ac:dyDescent="0.35">
      <c r="G214" s="5" t="str">
        <f>BIN2HEX(MID(G209,25,8),2)</f>
        <v>0D</v>
      </c>
    </row>
    <row r="215" spans="1:8" x14ac:dyDescent="0.35">
      <c r="A215" s="5" t="s">
        <v>83</v>
      </c>
      <c r="B215" s="5" t="s">
        <v>362</v>
      </c>
      <c r="C215" s="5" t="s">
        <v>129</v>
      </c>
      <c r="D215" s="5">
        <v>0</v>
      </c>
      <c r="F215" s="5" t="str">
        <f>DEC2BIN(D215,10)</f>
        <v>0000000000</v>
      </c>
      <c r="G215" s="41" t="str">
        <f>F215&amp;F216&amp;F217&amp;F218</f>
        <v>00000000000000000000000000000100</v>
      </c>
    </row>
    <row r="216" spans="1:8" x14ac:dyDescent="0.35">
      <c r="D216" s="5">
        <v>0</v>
      </c>
      <c r="F216" s="5" t="str">
        <f>DEC2BIN(D216,10)</f>
        <v>0000000000</v>
      </c>
    </row>
    <row r="217" spans="1:8" x14ac:dyDescent="0.35">
      <c r="D217" s="5">
        <v>0</v>
      </c>
      <c r="F217" s="5" t="str">
        <f>DEC2BIN(D217,7)</f>
        <v>0000000</v>
      </c>
      <c r="G217" s="5" t="str">
        <f>BIN2HEX(MID(G215,1,8),2)</f>
        <v>00</v>
      </c>
    </row>
    <row r="218" spans="1:8" x14ac:dyDescent="0.35">
      <c r="B218" s="5" t="s">
        <v>134</v>
      </c>
      <c r="C218" s="5" t="s">
        <v>363</v>
      </c>
      <c r="D218" s="5">
        <f>IF(Parameters!B6=0,ROUNDUP(Parameters!D109/2,0),0)</f>
        <v>4</v>
      </c>
      <c r="F218" s="5" t="str">
        <f>DEC2BIN(D218,5)</f>
        <v>00100</v>
      </c>
      <c r="G218" s="5" t="str">
        <f>BIN2HEX(MID(G215,9,8),2)</f>
        <v>00</v>
      </c>
      <c r="H218" s="5" t="str">
        <f>G217&amp;G218&amp;G219&amp;G220</f>
        <v>00000004</v>
      </c>
    </row>
    <row r="219" spans="1:8" x14ac:dyDescent="0.35">
      <c r="G219" s="5" t="str">
        <f>BIN2HEX(MID(G215,17,8),2)</f>
        <v>00</v>
      </c>
    </row>
    <row r="220" spans="1:8" x14ac:dyDescent="0.35">
      <c r="G220" s="5" t="str">
        <f>BIN2HEX(MID(G215,25,8),2)</f>
        <v>04</v>
      </c>
    </row>
    <row r="222" spans="1:8" x14ac:dyDescent="0.35">
      <c r="A222" s="5" t="s">
        <v>471</v>
      </c>
      <c r="B222" s="5" t="s">
        <v>137</v>
      </c>
      <c r="C222" s="5" t="s">
        <v>472</v>
      </c>
      <c r="F222" s="5" t="str">
        <f>IF(Parameters!B6=0,LU!O2,LU!G2)</f>
        <v>11</v>
      </c>
      <c r="G222" s="41" t="str">
        <f>F222&amp;F223&amp;F224&amp;F225&amp;F226&amp;F227</f>
        <v>110000000000001000000000000010</v>
      </c>
    </row>
    <row r="223" spans="1:8" x14ac:dyDescent="0.35">
      <c r="B223" s="5" t="s">
        <v>477</v>
      </c>
      <c r="C223" s="5" t="s">
        <v>473</v>
      </c>
      <c r="D223" s="5">
        <v>0</v>
      </c>
      <c r="F223" s="5" t="str">
        <f>DEC2BIN(D223,2)</f>
        <v>00</v>
      </c>
      <c r="G223" s="5" t="str">
        <f>BIN2HEX(MID(G222,1,8),2)</f>
        <v>C0</v>
      </c>
      <c r="H223" s="5" t="str">
        <f>G223&amp;G224&amp;G225&amp;G226</f>
        <v>C0020002</v>
      </c>
    </row>
    <row r="224" spans="1:8" x14ac:dyDescent="0.35">
      <c r="B224" s="5" t="s">
        <v>270</v>
      </c>
      <c r="C224" s="5" t="s">
        <v>473</v>
      </c>
      <c r="D224" s="5">
        <v>0</v>
      </c>
      <c r="F224" s="5" t="str">
        <f>DEC2BIN(D224,2)</f>
        <v>00</v>
      </c>
      <c r="G224" s="5" t="str">
        <f>BIN2HEX(MID(G222,9,8),2)</f>
        <v>02</v>
      </c>
    </row>
    <row r="225" spans="1:8" x14ac:dyDescent="0.35">
      <c r="B225" s="5" t="s">
        <v>138</v>
      </c>
      <c r="C225" s="5" t="s">
        <v>474</v>
      </c>
      <c r="D225" s="5">
        <f>ROUNDUP((Parameters!D38/1024)/2,0)+1</f>
        <v>2</v>
      </c>
      <c r="F225" s="5" t="str">
        <f>DEC2BIN(D225,10)</f>
        <v>0000000010</v>
      </c>
      <c r="G225" s="5" t="str">
        <f>BIN2HEX(MID(G222,17,4))</f>
        <v>0</v>
      </c>
    </row>
    <row r="226" spans="1:8" x14ac:dyDescent="0.35">
      <c r="B226" s="5" t="s">
        <v>140</v>
      </c>
      <c r="C226" s="5" t="s">
        <v>473</v>
      </c>
      <c r="D226" s="5">
        <v>0</v>
      </c>
      <c r="F226" s="5" t="str">
        <f>DEC2BIN(D226,4)</f>
        <v>0000</v>
      </c>
      <c r="G226" s="5" t="str">
        <f>DEC2HEX(D227,3)</f>
        <v>002</v>
      </c>
    </row>
    <row r="227" spans="1:8" x14ac:dyDescent="0.35">
      <c r="B227" s="5" t="s">
        <v>139</v>
      </c>
      <c r="C227" s="5" t="s">
        <v>475</v>
      </c>
      <c r="D227" s="5">
        <f>ROUNDUP(ROUNDUP((Parameters!D39)/2,0)/1024,0)+1</f>
        <v>2</v>
      </c>
      <c r="F227" s="5" t="str">
        <f>DEC2BIN(D227,10)</f>
        <v>0000000010</v>
      </c>
    </row>
    <row r="229" spans="1:8" x14ac:dyDescent="0.35">
      <c r="A229" s="5" t="s">
        <v>480</v>
      </c>
      <c r="B229" s="5" t="s">
        <v>484</v>
      </c>
      <c r="C229" s="5" t="s">
        <v>473</v>
      </c>
      <c r="D229" s="5">
        <v>0</v>
      </c>
      <c r="G229" s="5" t="str">
        <f>DEC2HEX((D229+D230),4)</f>
        <v>00A4</v>
      </c>
      <c r="H229" s="5" t="str">
        <f>G229&amp;G230</f>
        <v>00A40000</v>
      </c>
    </row>
    <row r="230" spans="1:8" x14ac:dyDescent="0.35">
      <c r="B230" s="5" t="s">
        <v>485</v>
      </c>
      <c r="C230" s="5" t="s">
        <v>482</v>
      </c>
      <c r="D230" s="5">
        <f>ROUNDUP(ROUNDUP(Parameters!D40/2,0)/1024,0)+1</f>
        <v>164</v>
      </c>
      <c r="G230" s="5" t="str">
        <f>DEC2HEX((D231+D232),4)</f>
        <v>0000</v>
      </c>
    </row>
    <row r="231" spans="1:8" x14ac:dyDescent="0.35">
      <c r="B231" s="5" t="s">
        <v>147</v>
      </c>
      <c r="C231" s="5" t="s">
        <v>473</v>
      </c>
      <c r="D231" s="5">
        <v>0</v>
      </c>
    </row>
    <row r="232" spans="1:8" x14ac:dyDescent="0.35">
      <c r="B232" s="5" t="s">
        <v>158</v>
      </c>
      <c r="C232" s="5" t="s">
        <v>483</v>
      </c>
      <c r="D232" s="5">
        <f>0</f>
        <v>0</v>
      </c>
    </row>
    <row r="234" spans="1:8" x14ac:dyDescent="0.35">
      <c r="A234" s="5" t="s">
        <v>488</v>
      </c>
      <c r="B234" s="66" t="s">
        <v>486</v>
      </c>
      <c r="C234" s="5" t="s">
        <v>491</v>
      </c>
      <c r="D234" s="142" t="str">
        <f>IF(Parameters!B6=0,(LU!P8&amp;LU!P9),BIN2HEX((LU!G22&amp;LU!G14&amp;LU!G12&amp;LU!G10&amp;LU!G6),4))</f>
        <v>0A40</v>
      </c>
      <c r="E234" s="19" t="str">
        <f>(D234&amp;D235)</f>
        <v>0A400101</v>
      </c>
    </row>
    <row r="235" spans="1:8" x14ac:dyDescent="0.35">
      <c r="B235" s="7" t="s">
        <v>490</v>
      </c>
      <c r="C235" s="5" t="s">
        <v>492</v>
      </c>
      <c r="D235" s="142" t="str">
        <f>IF(Parameters!B6=0,(LU!P52&amp;LU!P53),BIN2HEX((LU!G24&amp;LU!G26&amp;LU!G28&amp;LU!G36),4))</f>
        <v>0101</v>
      </c>
    </row>
    <row r="236" spans="1:8" x14ac:dyDescent="0.35">
      <c r="B236" s="7"/>
    </row>
    <row r="237" spans="1:8" x14ac:dyDescent="0.35">
      <c r="A237" s="5" t="s">
        <v>566</v>
      </c>
      <c r="B237" s="7" t="s">
        <v>130</v>
      </c>
      <c r="C237" s="5" t="s">
        <v>473</v>
      </c>
      <c r="D237" s="5">
        <v>0</v>
      </c>
      <c r="F237" s="5" t="str">
        <f>DEC2BIN(D237,8)</f>
        <v>00000000</v>
      </c>
      <c r="G237" s="41" t="str">
        <f>F237&amp;F238&amp;F239&amp;F240</f>
        <v>00000000000100010000000000000000</v>
      </c>
    </row>
    <row r="238" spans="1:8" x14ac:dyDescent="0.35">
      <c r="B238" s="7" t="s">
        <v>131</v>
      </c>
      <c r="C238" s="5" t="s">
        <v>631</v>
      </c>
      <c r="D238" s="5">
        <f>ROUNDUP(ROUNDUP(Parameters!D68/2,0)/32,0)+1</f>
        <v>17</v>
      </c>
      <c r="F238" s="5" t="str">
        <f>DEC2BIN(D238,8)</f>
        <v>00010001</v>
      </c>
      <c r="G238" s="5" t="str">
        <f>BIN2HEX(MID(G237,1,8),2)</f>
        <v>00</v>
      </c>
      <c r="H238" s="5" t="str">
        <f>G238&amp;G239&amp;G240&amp;G241</f>
        <v>00110000</v>
      </c>
    </row>
    <row r="239" spans="1:8" x14ac:dyDescent="0.35">
      <c r="B239" s="7" t="s">
        <v>240</v>
      </c>
      <c r="C239" s="5" t="s">
        <v>473</v>
      </c>
      <c r="D239" s="5">
        <v>0</v>
      </c>
      <c r="F239" s="5" t="str">
        <f>DEC2BIN(D239,6)</f>
        <v>000000</v>
      </c>
      <c r="G239" s="5" t="str">
        <f>BIN2HEX(MID(G237,9,8),2)</f>
        <v>11</v>
      </c>
    </row>
    <row r="240" spans="1:8" x14ac:dyDescent="0.35">
      <c r="B240" s="7" t="s">
        <v>222</v>
      </c>
      <c r="C240" s="5" t="s">
        <v>632</v>
      </c>
      <c r="D240" s="5">
        <v>0</v>
      </c>
      <c r="E240" s="5" t="s">
        <v>487</v>
      </c>
      <c r="F240" s="5" t="str">
        <f>DEC2BIN(D240,10)</f>
        <v>0000000000</v>
      </c>
      <c r="G240" s="5" t="str">
        <f>BIN2HEX(MID(G237,17,8),2)</f>
        <v>00</v>
      </c>
    </row>
    <row r="241" spans="1:8" x14ac:dyDescent="0.35">
      <c r="B241" s="7"/>
      <c r="G241" s="5" t="str">
        <f>BIN2HEX(MID(G237,25,8),2)</f>
        <v>00</v>
      </c>
    </row>
    <row r="242" spans="1:8" x14ac:dyDescent="0.35">
      <c r="A242" s="5" t="s">
        <v>543</v>
      </c>
      <c r="B242" s="66" t="s">
        <v>486</v>
      </c>
      <c r="C242" s="5" t="s">
        <v>544</v>
      </c>
      <c r="D242" s="142" t="str">
        <f>IF(Parameters!B6=0,(LU!P73&amp;LU!P74),BIN2HEX((LU!G44&amp;LU!G46&amp;LU!G48&amp;LU!G56&amp;LU!G58&amp;LU!G60),4))</f>
        <v>0806</v>
      </c>
      <c r="E242" s="142" t="str">
        <f>D242&amp;D243</f>
        <v>08060200</v>
      </c>
    </row>
    <row r="243" spans="1:8" x14ac:dyDescent="0.35">
      <c r="B243" s="7" t="s">
        <v>490</v>
      </c>
      <c r="C243" s="5" t="s">
        <v>545</v>
      </c>
      <c r="D243" s="142" t="str">
        <f>IF(Parameters!B6=0,(LU!P92&amp;LU!P93),BIN2HEX((LU!G76&amp;LU!G74&amp;LU!G72&amp;LU!G70&amp;LU!G68&amp;LU!G66&amp;LU!G64&amp;LU!G62),4))</f>
        <v>0200</v>
      </c>
    </row>
    <row r="244" spans="1:8" x14ac:dyDescent="0.35">
      <c r="B244" s="7"/>
      <c r="D244" s="69"/>
    </row>
    <row r="245" spans="1:8" x14ac:dyDescent="0.35">
      <c r="A245" s="5" t="s">
        <v>568</v>
      </c>
      <c r="B245" s="66" t="s">
        <v>486</v>
      </c>
      <c r="C245" s="5" t="s">
        <v>577</v>
      </c>
      <c r="D245" s="19" t="str">
        <f>IF(Parameters!B6=0,(LU!P115&amp;LU!P116),BIN2HEX(LU!H79,4))</f>
        <v>1800</v>
      </c>
      <c r="E245" s="19" t="str">
        <f>(D245&amp;D246)</f>
        <v>18000840</v>
      </c>
    </row>
    <row r="246" spans="1:8" x14ac:dyDescent="0.35">
      <c r="B246" s="7" t="s">
        <v>490</v>
      </c>
      <c r="C246" s="5" t="s">
        <v>578</v>
      </c>
      <c r="D246" s="19" t="str">
        <f>IF(Parameters!B6=0,(LU!P141&amp;LU!P142),BIN2HEX((LU!G98&amp;LU!G100),4))</f>
        <v>0840</v>
      </c>
    </row>
    <row r="248" spans="1:8" x14ac:dyDescent="0.35">
      <c r="A248" s="5" t="s">
        <v>570</v>
      </c>
      <c r="B248" s="66" t="s">
        <v>486</v>
      </c>
      <c r="C248" s="5" t="s">
        <v>584</v>
      </c>
      <c r="D248" s="19" t="str">
        <f>IF(Parameters!B6=0,"0000",BIN2HEX((LU!G151&amp;LU!G152&amp;LU!G154&amp;LU!G156&amp;LU!G158),4))</f>
        <v>0000</v>
      </c>
      <c r="E248" s="19" t="str">
        <f>(D248&amp;D249)</f>
        <v>00000C18</v>
      </c>
      <c r="F248" s="5" t="s">
        <v>375</v>
      </c>
    </row>
    <row r="249" spans="1:8" x14ac:dyDescent="0.35">
      <c r="B249" s="7" t="s">
        <v>490</v>
      </c>
      <c r="C249" s="5" t="s">
        <v>585</v>
      </c>
      <c r="D249" s="19" t="str">
        <f>IF(Parameters!B6=0,(LU!P168&amp;LU!P169),BIN2HEX((LU!G166&amp;LU!G168),4))</f>
        <v>0C18</v>
      </c>
    </row>
    <row r="251" spans="1:8" x14ac:dyDescent="0.35">
      <c r="A251" s="5" t="s">
        <v>808</v>
      </c>
      <c r="B251" s="5" t="s">
        <v>199</v>
      </c>
      <c r="C251" s="5" t="s">
        <v>473</v>
      </c>
      <c r="D251" s="5">
        <v>0</v>
      </c>
      <c r="F251" s="5" t="str">
        <f>DEC2BIN(D251,10)</f>
        <v>0000000000</v>
      </c>
      <c r="G251" s="41" t="str">
        <f>F251&amp;F252&amp;F253&amp;F254&amp;F255&amp;F256&amp;F257</f>
        <v>00000000000111110001111100010011</v>
      </c>
    </row>
    <row r="252" spans="1:8" x14ac:dyDescent="0.35">
      <c r="D252" s="5">
        <v>0</v>
      </c>
      <c r="F252" s="5" t="str">
        <f>DEC2BIN(D252,1)</f>
        <v>0</v>
      </c>
    </row>
    <row r="253" spans="1:8" x14ac:dyDescent="0.35">
      <c r="B253" s="5" t="s">
        <v>200</v>
      </c>
      <c r="C253" s="5" t="s">
        <v>795</v>
      </c>
      <c r="D253" s="5">
        <f>LU!S3</f>
        <v>31</v>
      </c>
      <c r="F253" s="5" t="str">
        <f>DEC2BIN(D253,5)</f>
        <v>11111</v>
      </c>
      <c r="G253" s="5" t="str">
        <f>BIN2HEX(MID(G251,1,8),2)</f>
        <v>00</v>
      </c>
      <c r="H253" s="5" t="str">
        <f>G253&amp;G254&amp;G255&amp;G256</f>
        <v>001F1F13</v>
      </c>
    </row>
    <row r="254" spans="1:8" x14ac:dyDescent="0.35">
      <c r="B254" s="5" t="s">
        <v>275</v>
      </c>
      <c r="C254" s="5" t="s">
        <v>473</v>
      </c>
      <c r="D254" s="5">
        <v>0</v>
      </c>
      <c r="F254" s="5" t="str">
        <f>DEC2BIN(D254,3)</f>
        <v>000</v>
      </c>
      <c r="G254" s="5" t="str">
        <f>BIN2HEX(MID(G251,9,8),2)</f>
        <v>1F</v>
      </c>
    </row>
    <row r="255" spans="1:8" x14ac:dyDescent="0.35">
      <c r="B255" s="5" t="s">
        <v>274</v>
      </c>
      <c r="C255" s="5" t="s">
        <v>796</v>
      </c>
      <c r="D255" s="5">
        <f>LU!T3</f>
        <v>31</v>
      </c>
      <c r="F255" s="5" t="str">
        <f>DEC2BIN(D255,5)</f>
        <v>11111</v>
      </c>
      <c r="G255" s="5" t="str">
        <f>BIN2HEX(MID(G251,17,8),2)</f>
        <v>1F</v>
      </c>
    </row>
    <row r="256" spans="1:8" x14ac:dyDescent="0.35">
      <c r="B256" s="5" t="s">
        <v>133</v>
      </c>
      <c r="C256" s="5" t="s">
        <v>473</v>
      </c>
      <c r="D256" s="5">
        <v>0</v>
      </c>
      <c r="F256" s="5" t="str">
        <f>DEC2BIN(D256,3)</f>
        <v>000</v>
      </c>
      <c r="G256" s="5" t="str">
        <f>BIN2HEX(MID(G251,25,8),2)</f>
        <v>13</v>
      </c>
    </row>
    <row r="257" spans="1:8" x14ac:dyDescent="0.35">
      <c r="B257" s="5" t="s">
        <v>134</v>
      </c>
      <c r="C257" s="5" t="s">
        <v>797</v>
      </c>
      <c r="D257" s="5">
        <f>LU!U3</f>
        <v>19</v>
      </c>
      <c r="F257" s="5" t="str">
        <f>DEC2BIN(D257,5)</f>
        <v>10011</v>
      </c>
    </row>
    <row r="259" spans="1:8" x14ac:dyDescent="0.35">
      <c r="A259" s="5" t="s">
        <v>809</v>
      </c>
      <c r="B259" s="5" t="s">
        <v>812</v>
      </c>
      <c r="C259" s="5" t="s">
        <v>473</v>
      </c>
      <c r="D259" s="5">
        <v>0</v>
      </c>
      <c r="F259" s="5" t="str">
        <f>DEC2BIN(D259,10)</f>
        <v>0000000000</v>
      </c>
      <c r="G259" s="41" t="str">
        <f>F259&amp;F260&amp;F261&amp;F262&amp;F263&amp;F264</f>
        <v>00000000001111110000010100000101</v>
      </c>
    </row>
    <row r="260" spans="1:8" x14ac:dyDescent="0.35">
      <c r="B260" s="5" t="s">
        <v>178</v>
      </c>
      <c r="C260" s="5" t="s">
        <v>810</v>
      </c>
      <c r="D260" s="5">
        <f>LU!V3</f>
        <v>63</v>
      </c>
      <c r="F260" s="5" t="str">
        <f>DEC2BIN(D260,6)</f>
        <v>111111</v>
      </c>
    </row>
    <row r="261" spans="1:8" x14ac:dyDescent="0.35">
      <c r="B261" s="5" t="s">
        <v>202</v>
      </c>
      <c r="C261" s="5" t="s">
        <v>473</v>
      </c>
      <c r="D261" s="5">
        <v>0</v>
      </c>
      <c r="F261" s="5" t="str">
        <f>DEC2BIN(D261,2)</f>
        <v>00</v>
      </c>
      <c r="G261" s="5" t="str">
        <f>BIN2HEX(MID(G259,1,8),2)</f>
        <v>00</v>
      </c>
      <c r="H261" s="5" t="str">
        <f>G261&amp;G262&amp;G263&amp;G264</f>
        <v>003F0505</v>
      </c>
    </row>
    <row r="262" spans="1:8" x14ac:dyDescent="0.35">
      <c r="B262" s="5" t="s">
        <v>149</v>
      </c>
      <c r="C262" s="5" t="s">
        <v>811</v>
      </c>
      <c r="D262" s="5">
        <f>LU!W3</f>
        <v>5</v>
      </c>
      <c r="F262" s="5" t="str">
        <f>DEC2BIN(D262,6)</f>
        <v>000101</v>
      </c>
      <c r="G262" s="5" t="str">
        <f>BIN2HEX(MID(G259,9,8),2)</f>
        <v>3F</v>
      </c>
    </row>
    <row r="263" spans="1:8" x14ac:dyDescent="0.35">
      <c r="B263" s="5" t="s">
        <v>196</v>
      </c>
      <c r="C263" s="5" t="s">
        <v>473</v>
      </c>
      <c r="D263" s="5">
        <v>0</v>
      </c>
      <c r="F263" s="5" t="str">
        <f>DEC2BIN(D263,2)</f>
        <v>00</v>
      </c>
      <c r="G263" s="5" t="str">
        <f>BIN2HEX(MID(G259,17,8),2)</f>
        <v>05</v>
      </c>
    </row>
    <row r="264" spans="1:8" x14ac:dyDescent="0.35">
      <c r="B264" s="5" t="s">
        <v>197</v>
      </c>
      <c r="C264" s="5" t="s">
        <v>813</v>
      </c>
      <c r="D264" s="5">
        <f>LU!X3</f>
        <v>5</v>
      </c>
      <c r="F264" s="5" t="str">
        <f>DEC2BIN(D264,6)</f>
        <v>000101</v>
      </c>
      <c r="G264" s="5" t="str">
        <f>BIN2HEX(MID(G259,25,8),2)</f>
        <v>05</v>
      </c>
    </row>
    <row r="266" spans="1:8" x14ac:dyDescent="0.35">
      <c r="A266" s="5" t="s">
        <v>814</v>
      </c>
      <c r="B266" s="5" t="s">
        <v>141</v>
      </c>
      <c r="C266" s="5" t="s">
        <v>473</v>
      </c>
      <c r="D266" s="5">
        <v>0</v>
      </c>
      <c r="F266" s="5" t="str">
        <f>DEC2BIN(D266,4)</f>
        <v>0000</v>
      </c>
      <c r="G266" s="41" t="str">
        <f>F266&amp;F267&amp;F268&amp;F269&amp;F270&amp;F271&amp;F272&amp;F273</f>
        <v>00000000000000000000000000000000</v>
      </c>
    </row>
    <row r="267" spans="1:8" x14ac:dyDescent="0.35">
      <c r="B267" s="5" t="s">
        <v>143</v>
      </c>
      <c r="C267" s="5" t="s">
        <v>827</v>
      </c>
      <c r="D267" s="5">
        <f>LU!AB3</f>
        <v>0</v>
      </c>
      <c r="F267" s="5" t="str">
        <f>DEC2BIN(D267,4)</f>
        <v>0000</v>
      </c>
    </row>
    <row r="268" spans="1:8" x14ac:dyDescent="0.35">
      <c r="B268" s="5" t="s">
        <v>144</v>
      </c>
      <c r="C268" s="5" t="s">
        <v>473</v>
      </c>
      <c r="D268" s="5">
        <v>0</v>
      </c>
      <c r="F268" s="5" t="str">
        <f t="shared" ref="F268:F273" si="3">DEC2BIN(D268,4)</f>
        <v>0000</v>
      </c>
      <c r="G268" s="5" t="str">
        <f>BIN2HEX(MID(G266,1,8),2)</f>
        <v>00</v>
      </c>
      <c r="H268" s="5" t="str">
        <f>G268&amp;G269&amp;G270&amp;G271</f>
        <v>00000000</v>
      </c>
    </row>
    <row r="269" spans="1:8" x14ac:dyDescent="0.35">
      <c r="B269" s="5" t="s">
        <v>156</v>
      </c>
      <c r="C269" s="5" t="s">
        <v>828</v>
      </c>
      <c r="D269" s="5">
        <f>LU!AA3</f>
        <v>0</v>
      </c>
      <c r="F269" s="5" t="str">
        <f t="shared" si="3"/>
        <v>0000</v>
      </c>
      <c r="G269" s="5" t="str">
        <f>BIN2HEX(MID(G266,9,8),2)</f>
        <v>00</v>
      </c>
    </row>
    <row r="270" spans="1:8" x14ac:dyDescent="0.35">
      <c r="B270" s="5" t="s">
        <v>275</v>
      </c>
      <c r="C270" s="5" t="s">
        <v>473</v>
      </c>
      <c r="D270" s="5">
        <v>0</v>
      </c>
      <c r="F270" s="5" t="str">
        <f t="shared" si="3"/>
        <v>0000</v>
      </c>
      <c r="G270" s="5" t="str">
        <f>BIN2HEX(MID(G266,17,8),2)</f>
        <v>00</v>
      </c>
    </row>
    <row r="271" spans="1:8" x14ac:dyDescent="0.35">
      <c r="B271" s="5" t="s">
        <v>274</v>
      </c>
      <c r="C271" s="5" t="s">
        <v>829</v>
      </c>
      <c r="D271" s="5">
        <f>LU!Z3</f>
        <v>0</v>
      </c>
      <c r="F271" s="5" t="str">
        <f t="shared" si="3"/>
        <v>0000</v>
      </c>
      <c r="G271" s="5" t="str">
        <f>BIN2HEX(MID(G266,25,8),2)</f>
        <v>00</v>
      </c>
    </row>
    <row r="272" spans="1:8" x14ac:dyDescent="0.35">
      <c r="B272" s="5" t="s">
        <v>162</v>
      </c>
      <c r="C272" s="5" t="s">
        <v>473</v>
      </c>
      <c r="D272" s="5">
        <v>0</v>
      </c>
      <c r="F272" s="5" t="str">
        <f t="shared" si="3"/>
        <v>0000</v>
      </c>
    </row>
    <row r="273" spans="1:8" x14ac:dyDescent="0.35">
      <c r="B273" s="5" t="s">
        <v>158</v>
      </c>
      <c r="C273" s="5" t="s">
        <v>830</v>
      </c>
      <c r="D273" s="5">
        <f>LU!Y3</f>
        <v>0</v>
      </c>
      <c r="F273" s="5" t="str">
        <f t="shared" si="3"/>
        <v>0000</v>
      </c>
    </row>
    <row r="275" spans="1:8" x14ac:dyDescent="0.35">
      <c r="A275" s="5" t="s">
        <v>815</v>
      </c>
      <c r="B275" s="5" t="s">
        <v>225</v>
      </c>
      <c r="C275" s="5" t="s">
        <v>473</v>
      </c>
      <c r="D275" s="5">
        <v>0</v>
      </c>
      <c r="F275" s="5" t="str">
        <f>DEC2BIN(D275,3)</f>
        <v>000</v>
      </c>
      <c r="G275" s="41" t="str">
        <f>F275&amp;F276&amp;F277&amp;F278&amp;F279&amp;F280&amp;F281&amp;F282</f>
        <v>00010100000101000001010000000000</v>
      </c>
    </row>
    <row r="276" spans="1:8" x14ac:dyDescent="0.35">
      <c r="B276" s="5" t="s">
        <v>226</v>
      </c>
      <c r="C276" s="5" t="s">
        <v>832</v>
      </c>
      <c r="D276" s="5">
        <f>LU!AF3</f>
        <v>20</v>
      </c>
      <c r="F276" s="5" t="str">
        <f>DEC2BIN(D276,5)</f>
        <v>10100</v>
      </c>
    </row>
    <row r="277" spans="1:8" x14ac:dyDescent="0.35">
      <c r="B277" s="5" t="s">
        <v>273</v>
      </c>
      <c r="C277" s="5" t="s">
        <v>473</v>
      </c>
      <c r="D277" s="5">
        <v>0</v>
      </c>
      <c r="F277" s="5" t="str">
        <f>DEC2BIN(D277,3)</f>
        <v>000</v>
      </c>
      <c r="G277" s="5" t="str">
        <f>BIN2HEX(MID(G275,1,8),2)</f>
        <v>14</v>
      </c>
      <c r="H277" s="5" t="str">
        <f>G277&amp;G278&amp;G279&amp;G280</f>
        <v>14141400</v>
      </c>
    </row>
    <row r="278" spans="1:8" x14ac:dyDescent="0.35">
      <c r="B278" s="5" t="s">
        <v>200</v>
      </c>
      <c r="C278" s="5" t="s">
        <v>833</v>
      </c>
      <c r="D278" s="5">
        <f>LU!AE3</f>
        <v>20</v>
      </c>
      <c r="F278" s="5" t="str">
        <f>DEC2BIN(D278,5)</f>
        <v>10100</v>
      </c>
      <c r="G278" s="5" t="str">
        <f>BIN2HEX(MID(G275,9,8),2)</f>
        <v>14</v>
      </c>
    </row>
    <row r="279" spans="1:8" x14ac:dyDescent="0.35">
      <c r="B279" s="5" t="s">
        <v>275</v>
      </c>
      <c r="C279" s="5" t="s">
        <v>473</v>
      </c>
      <c r="D279" s="5">
        <v>0</v>
      </c>
      <c r="F279" s="5" t="str">
        <f>DEC2BIN(D279,3)</f>
        <v>000</v>
      </c>
      <c r="G279" s="5" t="str">
        <f>BIN2HEX(MID(G275,17,8),2)</f>
        <v>14</v>
      </c>
    </row>
    <row r="280" spans="1:8" x14ac:dyDescent="0.35">
      <c r="B280" s="5" t="s">
        <v>274</v>
      </c>
      <c r="C280" s="5" t="s">
        <v>834</v>
      </c>
      <c r="D280" s="5">
        <f>LU!AD3</f>
        <v>20</v>
      </c>
      <c r="F280" s="5" t="str">
        <f>DEC2BIN(D280,5)</f>
        <v>10100</v>
      </c>
      <c r="G280" s="5" t="str">
        <f>BIN2HEX(MID(G275,25,8),2)</f>
        <v>00</v>
      </c>
    </row>
    <row r="281" spans="1:8" x14ac:dyDescent="0.35">
      <c r="B281" s="5" t="s">
        <v>133</v>
      </c>
      <c r="C281" s="5" t="s">
        <v>473</v>
      </c>
      <c r="D281" s="5">
        <v>0</v>
      </c>
      <c r="F281" s="5" t="str">
        <f>DEC2BIN(D281,3)</f>
        <v>000</v>
      </c>
    </row>
    <row r="282" spans="1:8" x14ac:dyDescent="0.35">
      <c r="B282" s="5" t="s">
        <v>134</v>
      </c>
      <c r="C282" s="5" t="s">
        <v>835</v>
      </c>
      <c r="D282" s="5">
        <f>LU!AC3</f>
        <v>0</v>
      </c>
      <c r="F282" s="5" t="str">
        <f>DEC2BIN(D282,5)</f>
        <v>00000</v>
      </c>
    </row>
    <row r="284" spans="1:8" x14ac:dyDescent="0.35">
      <c r="A284" s="5" t="s">
        <v>816</v>
      </c>
      <c r="B284" s="5">
        <v>31</v>
      </c>
      <c r="C284" s="5" t="s">
        <v>838</v>
      </c>
      <c r="D284" s="5">
        <f>Parameters!H13</f>
        <v>0</v>
      </c>
      <c r="F284" s="5" t="str">
        <f>DEC2BIN(D284,1)</f>
        <v>0</v>
      </c>
      <c r="G284" s="41" t="str">
        <f>F284&amp;F285&amp;F286&amp;F287&amp;F288&amp;F289</f>
        <v>00000000000000000001111100011111</v>
      </c>
    </row>
    <row r="285" spans="1:8" x14ac:dyDescent="0.35">
      <c r="B285" s="4" t="s">
        <v>841</v>
      </c>
      <c r="C285" s="5" t="s">
        <v>473</v>
      </c>
      <c r="D285" s="5">
        <v>0</v>
      </c>
      <c r="F285" s="5" t="str">
        <f>DEC2BIN(D285,10)</f>
        <v>0000000000</v>
      </c>
    </row>
    <row r="286" spans="1:8" x14ac:dyDescent="0.35">
      <c r="B286" s="4"/>
      <c r="D286" s="5">
        <v>0</v>
      </c>
      <c r="F286" s="5" t="str">
        <f>DEC2BIN(D286,8)</f>
        <v>00000000</v>
      </c>
      <c r="G286" s="5" t="str">
        <f>BIN2HEX(MID(G284,1,8),2)</f>
        <v>00</v>
      </c>
      <c r="H286" s="5" t="str">
        <f>G286&amp;G287&amp;G288&amp;G289</f>
        <v>00001F1F</v>
      </c>
    </row>
    <row r="287" spans="1:8" x14ac:dyDescent="0.35">
      <c r="B287" s="5" t="s">
        <v>274</v>
      </c>
      <c r="C287" s="5" t="s">
        <v>839</v>
      </c>
      <c r="D287" s="5">
        <f>LU!AH3</f>
        <v>31</v>
      </c>
      <c r="F287" s="5" t="str">
        <f>DEC2BIN(D287,5)</f>
        <v>11111</v>
      </c>
      <c r="G287" s="5" t="str">
        <f>BIN2HEX(MID(G284,9,8),2)</f>
        <v>00</v>
      </c>
    </row>
    <row r="288" spans="1:8" x14ac:dyDescent="0.35">
      <c r="B288" s="5" t="s">
        <v>133</v>
      </c>
      <c r="C288" s="5" t="s">
        <v>473</v>
      </c>
      <c r="D288" s="5">
        <v>0</v>
      </c>
      <c r="F288" s="5" t="str">
        <f>DEC2BIN(D288,3)</f>
        <v>000</v>
      </c>
      <c r="G288" s="5" t="str">
        <f>BIN2HEX(MID(G284,17,8),2)</f>
        <v>1F</v>
      </c>
    </row>
    <row r="289" spans="1:8" x14ac:dyDescent="0.35">
      <c r="B289" s="5" t="s">
        <v>134</v>
      </c>
      <c r="C289" s="5" t="s">
        <v>840</v>
      </c>
      <c r="D289" s="5">
        <f>LU!AG3</f>
        <v>31</v>
      </c>
      <c r="F289" s="5" t="str">
        <f>DEC2BIN(D289,5)</f>
        <v>11111</v>
      </c>
      <c r="G289" s="5" t="str">
        <f>BIN2HEX(MID(G284,25,8),2)</f>
        <v>1F</v>
      </c>
    </row>
    <row r="291" spans="1:8" x14ac:dyDescent="0.35">
      <c r="A291" s="5" t="s">
        <v>817</v>
      </c>
      <c r="B291" s="5" t="s">
        <v>141</v>
      </c>
      <c r="C291" s="5" t="s">
        <v>473</v>
      </c>
      <c r="D291" s="5">
        <v>0</v>
      </c>
      <c r="F291" s="5" t="str">
        <f>DEC2BIN(D291,4)</f>
        <v>0000</v>
      </c>
      <c r="G291" s="41" t="str">
        <f>F291&amp;F292&amp;F293&amp;F294&amp;F295&amp;F296&amp;F297&amp;F298</f>
        <v>00000100000001000000010000000100</v>
      </c>
    </row>
    <row r="292" spans="1:8" x14ac:dyDescent="0.35">
      <c r="B292" s="5" t="s">
        <v>143</v>
      </c>
      <c r="C292" s="5" t="s">
        <v>843</v>
      </c>
      <c r="D292" s="5">
        <f>LU!AX3</f>
        <v>4</v>
      </c>
      <c r="F292" s="5" t="str">
        <f>DEC2BIN(D292,4)</f>
        <v>0100</v>
      </c>
    </row>
    <row r="293" spans="1:8" x14ac:dyDescent="0.35">
      <c r="B293" s="5" t="s">
        <v>144</v>
      </c>
      <c r="C293" s="5" t="s">
        <v>473</v>
      </c>
      <c r="D293" s="5">
        <v>0</v>
      </c>
      <c r="F293" s="5" t="str">
        <f t="shared" ref="F293:F298" si="4">DEC2BIN(D293,4)</f>
        <v>0000</v>
      </c>
      <c r="G293" s="5" t="str">
        <f>BIN2HEX(MID(G291,1,8),2)</f>
        <v>04</v>
      </c>
      <c r="H293" s="5" t="str">
        <f>G293&amp;G294&amp;G295&amp;G296</f>
        <v>04040404</v>
      </c>
    </row>
    <row r="294" spans="1:8" x14ac:dyDescent="0.35">
      <c r="B294" s="5" t="s">
        <v>156</v>
      </c>
      <c r="C294" s="5" t="s">
        <v>844</v>
      </c>
      <c r="D294" s="104">
        <f>LOOKUP(Parameters!H15,LU!S8:S20,LU!S8:S20)</f>
        <v>4</v>
      </c>
      <c r="F294" s="5" t="str">
        <f t="shared" si="4"/>
        <v>0100</v>
      </c>
      <c r="G294" s="5" t="str">
        <f>BIN2HEX(MID(G291,9,8),2)</f>
        <v>04</v>
      </c>
    </row>
    <row r="295" spans="1:8" x14ac:dyDescent="0.35">
      <c r="B295" s="5" t="s">
        <v>275</v>
      </c>
      <c r="C295" s="5" t="s">
        <v>473</v>
      </c>
      <c r="D295" s="5">
        <v>0</v>
      </c>
      <c r="F295" s="5" t="str">
        <f t="shared" si="4"/>
        <v>0000</v>
      </c>
      <c r="G295" s="5" t="str">
        <f>BIN2HEX(MID(G291,17,8),2)</f>
        <v>04</v>
      </c>
    </row>
    <row r="296" spans="1:8" x14ac:dyDescent="0.35">
      <c r="B296" s="5" t="s">
        <v>274</v>
      </c>
      <c r="C296" s="5" t="s">
        <v>845</v>
      </c>
      <c r="D296" s="5">
        <f>LU!AN3</f>
        <v>4</v>
      </c>
      <c r="F296" s="5" t="str">
        <f t="shared" si="4"/>
        <v>0100</v>
      </c>
      <c r="G296" s="5" t="str">
        <f>BIN2HEX(MID(G291,25,8),2)</f>
        <v>04</v>
      </c>
    </row>
    <row r="297" spans="1:8" x14ac:dyDescent="0.35">
      <c r="B297" s="5" t="s">
        <v>162</v>
      </c>
      <c r="C297" s="5" t="s">
        <v>473</v>
      </c>
      <c r="D297" s="5">
        <v>0</v>
      </c>
      <c r="F297" s="5" t="str">
        <f t="shared" si="4"/>
        <v>0000</v>
      </c>
    </row>
    <row r="298" spans="1:8" x14ac:dyDescent="0.35">
      <c r="B298" s="5" t="s">
        <v>158</v>
      </c>
      <c r="C298" s="5" t="s">
        <v>846</v>
      </c>
      <c r="D298" s="5">
        <f>LU!AM3</f>
        <v>4</v>
      </c>
      <c r="F298" s="5" t="str">
        <f t="shared" si="4"/>
        <v>0100</v>
      </c>
    </row>
    <row r="300" spans="1:8" x14ac:dyDescent="0.35">
      <c r="A300" s="5" t="s">
        <v>818</v>
      </c>
      <c r="B300" s="5">
        <v>31</v>
      </c>
      <c r="C300" s="5" t="s">
        <v>847</v>
      </c>
      <c r="D300" s="5">
        <v>0</v>
      </c>
      <c r="F300" s="5" t="str">
        <f>DEC2BIN(D300,1)</f>
        <v>0</v>
      </c>
      <c r="G300" s="41" t="str">
        <f>F300&amp;F301&amp;F302&amp;F303&amp;F304&amp;F305&amp;F306&amp;F307&amp;F308&amp;F309</f>
        <v>00001111000001000000010000000100</v>
      </c>
    </row>
    <row r="301" spans="1:8" x14ac:dyDescent="0.35">
      <c r="B301" s="5" t="s">
        <v>853</v>
      </c>
      <c r="C301" s="5" t="s">
        <v>848</v>
      </c>
      <c r="D301" s="19" t="str">
        <f>LOOKUP(Parameters!H14,LU!R8:R11,LU!R8:R11)</f>
        <v>00</v>
      </c>
      <c r="F301" s="5" t="str">
        <f>D301</f>
        <v>00</v>
      </c>
    </row>
    <row r="302" spans="1:8" x14ac:dyDescent="0.35">
      <c r="B302" s="5">
        <v>28</v>
      </c>
      <c r="C302" s="5" t="s">
        <v>473</v>
      </c>
      <c r="D302" s="5">
        <v>0</v>
      </c>
      <c r="F302" s="5" t="str">
        <f>DEC2BIN(D302,1)</f>
        <v>0</v>
      </c>
      <c r="G302" s="5" t="str">
        <f>BIN2HEX(MID(G300,1,8),2)</f>
        <v>0F</v>
      </c>
      <c r="H302" s="5" t="str">
        <f>G302&amp;G303&amp;G304&amp;G305</f>
        <v>0F040404</v>
      </c>
    </row>
    <row r="303" spans="1:8" x14ac:dyDescent="0.35">
      <c r="B303" s="5" t="s">
        <v>143</v>
      </c>
      <c r="C303" s="5" t="s">
        <v>849</v>
      </c>
      <c r="D303" s="5">
        <f>LU!BB3</f>
        <v>15</v>
      </c>
      <c r="F303" s="5" t="str">
        <f t="shared" ref="F303:F309" si="5">DEC2BIN(D303,4)</f>
        <v>1111</v>
      </c>
      <c r="G303" s="5" t="str">
        <f>BIN2HEX(MID(G300,9,8),2)</f>
        <v>04</v>
      </c>
    </row>
    <row r="304" spans="1:8" x14ac:dyDescent="0.35">
      <c r="B304" s="5" t="s">
        <v>144</v>
      </c>
      <c r="C304" s="5" t="s">
        <v>473</v>
      </c>
      <c r="D304" s="5">
        <v>0</v>
      </c>
      <c r="F304" s="5" t="str">
        <f t="shared" si="5"/>
        <v>0000</v>
      </c>
      <c r="G304" s="5" t="str">
        <f>BIN2HEX(MID(G300,17,8),2)</f>
        <v>04</v>
      </c>
    </row>
    <row r="305" spans="1:8" x14ac:dyDescent="0.35">
      <c r="B305" s="5" t="s">
        <v>156</v>
      </c>
      <c r="C305" s="5" t="s">
        <v>850</v>
      </c>
      <c r="D305" s="5">
        <f>LU!BA3</f>
        <v>4</v>
      </c>
      <c r="F305" s="5" t="str">
        <f t="shared" si="5"/>
        <v>0100</v>
      </c>
      <c r="G305" s="5" t="str">
        <f>BIN2HEX(MID(G300,25,8),2)</f>
        <v>04</v>
      </c>
    </row>
    <row r="306" spans="1:8" x14ac:dyDescent="0.35">
      <c r="B306" s="5" t="s">
        <v>140</v>
      </c>
      <c r="C306" s="5" t="s">
        <v>473</v>
      </c>
      <c r="D306" s="5">
        <v>0</v>
      </c>
      <c r="F306" s="5" t="str">
        <f t="shared" si="5"/>
        <v>0000</v>
      </c>
    </row>
    <row r="307" spans="1:8" x14ac:dyDescent="0.35">
      <c r="B307" s="5" t="s">
        <v>160</v>
      </c>
      <c r="C307" s="5" t="s">
        <v>851</v>
      </c>
      <c r="D307" s="5">
        <f>LU!AZ3</f>
        <v>4</v>
      </c>
      <c r="F307" s="5" t="str">
        <f t="shared" si="5"/>
        <v>0100</v>
      </c>
    </row>
    <row r="308" spans="1:8" x14ac:dyDescent="0.35">
      <c r="B308" s="5" t="s">
        <v>162</v>
      </c>
      <c r="C308" s="5" t="s">
        <v>473</v>
      </c>
      <c r="D308" s="5">
        <v>0</v>
      </c>
      <c r="F308" s="5" t="str">
        <f t="shared" si="5"/>
        <v>0000</v>
      </c>
    </row>
    <row r="309" spans="1:8" x14ac:dyDescent="0.35">
      <c r="B309" s="5" t="s">
        <v>158</v>
      </c>
      <c r="C309" s="5" t="s">
        <v>852</v>
      </c>
      <c r="D309" s="5">
        <f>LU!AY3</f>
        <v>4</v>
      </c>
      <c r="F309" s="5" t="str">
        <f t="shared" si="5"/>
        <v>0100</v>
      </c>
    </row>
    <row r="311" spans="1:8" x14ac:dyDescent="0.35">
      <c r="A311" s="5" t="s">
        <v>819</v>
      </c>
      <c r="B311" s="5" t="s">
        <v>159</v>
      </c>
      <c r="C311" s="5" t="s">
        <v>473</v>
      </c>
      <c r="D311" s="5">
        <v>0</v>
      </c>
      <c r="F311" s="5" t="str">
        <f>DEC2BIN(D311,10)</f>
        <v>0000000000</v>
      </c>
      <c r="G311" s="41" t="str">
        <f>F311&amp;F312&amp;F313&amp;F314&amp;F315</f>
        <v>00000000000000000000111100001111</v>
      </c>
    </row>
    <row r="312" spans="1:8" x14ac:dyDescent="0.35">
      <c r="D312" s="5">
        <v>0</v>
      </c>
      <c r="F312" s="5" t="str">
        <f>DEC2BIN(D312,10)</f>
        <v>0000000000</v>
      </c>
    </row>
    <row r="313" spans="1:8" x14ac:dyDescent="0.35">
      <c r="B313" s="5" t="s">
        <v>160</v>
      </c>
      <c r="C313" s="5" t="s">
        <v>856</v>
      </c>
      <c r="D313" s="5">
        <f>IF(Parameters!B6=0,LU!BD3,15)</f>
        <v>15</v>
      </c>
      <c r="F313" s="5" t="str">
        <f>DEC2BIN(D313,4)</f>
        <v>1111</v>
      </c>
      <c r="G313" s="5" t="str">
        <f>BIN2HEX(MID(G311,1,8),2)</f>
        <v>00</v>
      </c>
      <c r="H313" s="5" t="str">
        <f>G313&amp;G314&amp;G315&amp;G316</f>
        <v>00000F0F</v>
      </c>
    </row>
    <row r="314" spans="1:8" x14ac:dyDescent="0.35">
      <c r="B314" s="5" t="s">
        <v>162</v>
      </c>
      <c r="C314" s="5" t="s">
        <v>473</v>
      </c>
      <c r="D314" s="5">
        <v>0</v>
      </c>
      <c r="F314" s="5" t="str">
        <f>DEC2BIN(D314,4)</f>
        <v>0000</v>
      </c>
      <c r="G314" s="5" t="str">
        <f>BIN2HEX(MID(G311,9,8),2)</f>
        <v>00</v>
      </c>
    </row>
    <row r="315" spans="1:8" x14ac:dyDescent="0.35">
      <c r="B315" s="5" t="s">
        <v>158</v>
      </c>
      <c r="C315" s="5" t="s">
        <v>857</v>
      </c>
      <c r="D315" s="5">
        <f>LU!BC3</f>
        <v>15</v>
      </c>
      <c r="F315" s="5" t="str">
        <f>DEC2BIN(D315,4)</f>
        <v>1111</v>
      </c>
      <c r="G315" s="5" t="str">
        <f>BIN2HEX(MID(G311,17,8),2)</f>
        <v>0F</v>
      </c>
    </row>
    <row r="316" spans="1:8" x14ac:dyDescent="0.35">
      <c r="G316" s="5" t="str">
        <f>BIN2HEX(MID(G311,25,8),2)</f>
        <v>0F</v>
      </c>
    </row>
    <row r="317" spans="1:8" x14ac:dyDescent="0.35">
      <c r="A317" s="5" t="s">
        <v>820</v>
      </c>
      <c r="B317" s="5" t="s">
        <v>860</v>
      </c>
      <c r="C317" s="5" t="s">
        <v>473</v>
      </c>
      <c r="D317" s="5">
        <v>0</v>
      </c>
      <c r="F317" s="5" t="str">
        <f>DEC2BIN(D317,10)</f>
        <v>0000000000</v>
      </c>
      <c r="G317" s="41" t="str">
        <f>F317&amp;F318&amp;F319&amp;F320&amp;F321</f>
        <v>00000000000000000011111100000111</v>
      </c>
    </row>
    <row r="318" spans="1:8" x14ac:dyDescent="0.35">
      <c r="D318" s="5">
        <v>0</v>
      </c>
      <c r="F318" s="5" t="str">
        <f>DEC2BIN(D318,8)</f>
        <v>00000000</v>
      </c>
    </row>
    <row r="319" spans="1:8" x14ac:dyDescent="0.35">
      <c r="B319" s="5" t="s">
        <v>149</v>
      </c>
      <c r="C319" s="5" t="s">
        <v>858</v>
      </c>
      <c r="D319" s="5">
        <f>LU!AJ3</f>
        <v>63</v>
      </c>
      <c r="F319" s="5" t="str">
        <f>DEC2BIN(D319,6)</f>
        <v>111111</v>
      </c>
      <c r="G319" s="5" t="str">
        <f>BIN2HEX(MID(G317,1,8),2)</f>
        <v>00</v>
      </c>
      <c r="H319" s="5" t="str">
        <f>G319&amp;G320&amp;G321&amp;G322</f>
        <v>00003F07</v>
      </c>
    </row>
    <row r="320" spans="1:8" x14ac:dyDescent="0.35">
      <c r="B320" s="5" t="s">
        <v>196</v>
      </c>
      <c r="C320" s="5" t="s">
        <v>473</v>
      </c>
      <c r="D320" s="5">
        <v>0</v>
      </c>
      <c r="F320" s="5" t="str">
        <f>DEC2BIN(D320,2)</f>
        <v>00</v>
      </c>
      <c r="G320" s="5" t="str">
        <f>BIN2HEX(MID(G317,9,8),2)</f>
        <v>00</v>
      </c>
    </row>
    <row r="321" spans="1:8" x14ac:dyDescent="0.35">
      <c r="B321" s="5" t="s">
        <v>197</v>
      </c>
      <c r="C321" s="5" t="s">
        <v>859</v>
      </c>
      <c r="D321" s="5">
        <f>LU!AI3</f>
        <v>7</v>
      </c>
      <c r="F321" s="5" t="str">
        <f>DEC2BIN(D321,6)</f>
        <v>000111</v>
      </c>
      <c r="G321" s="5" t="str">
        <f>BIN2HEX(MID(G317,17,8),2)</f>
        <v>3F</v>
      </c>
    </row>
    <row r="322" spans="1:8" x14ac:dyDescent="0.35">
      <c r="G322" s="5" t="str">
        <f>BIN2HEX(MID(G317,25,8),2)</f>
        <v>07</v>
      </c>
    </row>
    <row r="323" spans="1:8" x14ac:dyDescent="0.35">
      <c r="A323" s="5" t="s">
        <v>821</v>
      </c>
      <c r="B323" s="5" t="s">
        <v>141</v>
      </c>
      <c r="C323" s="5" t="s">
        <v>473</v>
      </c>
      <c r="D323" s="5">
        <v>0</v>
      </c>
      <c r="F323" s="5" t="str">
        <f>DEC2BIN(D323,4)</f>
        <v>0000</v>
      </c>
      <c r="G323" s="41" t="str">
        <f>F323&amp;F324&amp;F325&amp;F326&amp;F327&amp;F328&amp;F329&amp;F330</f>
        <v>00000000000000000000000000000000</v>
      </c>
    </row>
    <row r="324" spans="1:8" x14ac:dyDescent="0.35">
      <c r="B324" s="5" t="s">
        <v>143</v>
      </c>
      <c r="C324" s="5" t="s">
        <v>862</v>
      </c>
      <c r="D324" s="5">
        <f>IF(Parameters!H15=15,LU!AR3,0)</f>
        <v>0</v>
      </c>
      <c r="F324" s="5" t="str">
        <f>DEC2BIN(D324,4)</f>
        <v>0000</v>
      </c>
    </row>
    <row r="325" spans="1:8" x14ac:dyDescent="0.35">
      <c r="B325" s="5" t="s">
        <v>144</v>
      </c>
      <c r="C325" s="5" t="s">
        <v>473</v>
      </c>
      <c r="D325" s="5">
        <v>0</v>
      </c>
      <c r="F325" s="5" t="str">
        <f t="shared" ref="F325:F330" si="6">DEC2BIN(D325,4)</f>
        <v>0000</v>
      </c>
      <c r="G325" s="5" t="str">
        <f>BIN2HEX(MID(G323,1,8),2)</f>
        <v>00</v>
      </c>
      <c r="H325" s="5" t="str">
        <f>G325&amp;G326&amp;G327&amp;G328</f>
        <v>00000000</v>
      </c>
    </row>
    <row r="326" spans="1:8" x14ac:dyDescent="0.35">
      <c r="B326" s="5" t="s">
        <v>156</v>
      </c>
      <c r="C326" s="5" t="s">
        <v>863</v>
      </c>
      <c r="D326" s="5">
        <f>IF(Parameters!H15=15,LU!AQ3,0)</f>
        <v>0</v>
      </c>
      <c r="F326" s="5" t="str">
        <f t="shared" si="6"/>
        <v>0000</v>
      </c>
      <c r="G326" s="5" t="str">
        <f>BIN2HEX(MID(G323,9,8),2)</f>
        <v>00</v>
      </c>
    </row>
    <row r="327" spans="1:8" x14ac:dyDescent="0.35">
      <c r="B327" s="5" t="s">
        <v>275</v>
      </c>
      <c r="C327" s="5" t="s">
        <v>473</v>
      </c>
      <c r="D327" s="5">
        <v>0</v>
      </c>
      <c r="F327" s="5" t="str">
        <f t="shared" si="6"/>
        <v>0000</v>
      </c>
      <c r="G327" s="5" t="str">
        <f>BIN2HEX(MID(G323,17,8),2)</f>
        <v>00</v>
      </c>
    </row>
    <row r="328" spans="1:8" x14ac:dyDescent="0.35">
      <c r="B328" s="5" t="s">
        <v>274</v>
      </c>
      <c r="C328" s="5" t="s">
        <v>864</v>
      </c>
      <c r="D328" s="5">
        <f>IF(Parameters!H15=15,LU!AP3,0)</f>
        <v>0</v>
      </c>
      <c r="F328" s="5" t="str">
        <f t="shared" si="6"/>
        <v>0000</v>
      </c>
      <c r="G328" s="5" t="str">
        <f>BIN2HEX(MID(G323,25,8),2)</f>
        <v>00</v>
      </c>
    </row>
    <row r="329" spans="1:8" x14ac:dyDescent="0.35">
      <c r="B329" s="5" t="s">
        <v>162</v>
      </c>
      <c r="C329" s="5" t="s">
        <v>473</v>
      </c>
      <c r="D329" s="5">
        <v>0</v>
      </c>
      <c r="F329" s="5" t="str">
        <f t="shared" si="6"/>
        <v>0000</v>
      </c>
    </row>
    <row r="330" spans="1:8" x14ac:dyDescent="0.35">
      <c r="B330" s="5" t="s">
        <v>158</v>
      </c>
      <c r="C330" s="5" t="s">
        <v>865</v>
      </c>
      <c r="D330" s="5">
        <f>IF(Parameters!H15=15,LU!AO3,0)</f>
        <v>0</v>
      </c>
      <c r="F330" s="5" t="str">
        <f t="shared" si="6"/>
        <v>0000</v>
      </c>
    </row>
    <row r="332" spans="1:8" x14ac:dyDescent="0.35">
      <c r="A332" s="5" t="s">
        <v>822</v>
      </c>
      <c r="B332" s="5" t="s">
        <v>141</v>
      </c>
      <c r="C332" s="5" t="s">
        <v>473</v>
      </c>
      <c r="D332" s="5">
        <v>0</v>
      </c>
      <c r="F332" s="5" t="str">
        <f>DEC2BIN(D332,4)</f>
        <v>0000</v>
      </c>
      <c r="G332" s="41" t="str">
        <f>F332&amp;F333&amp;F334&amp;F335&amp;F336&amp;F337&amp;F338&amp;F339</f>
        <v>00000000000000000000000000000000</v>
      </c>
    </row>
    <row r="333" spans="1:8" x14ac:dyDescent="0.35">
      <c r="B333" s="5" t="s">
        <v>143</v>
      </c>
      <c r="C333" s="5" t="s">
        <v>867</v>
      </c>
      <c r="D333" s="5">
        <f>IF(Parameters!H15=15,LU!AV3,0)</f>
        <v>0</v>
      </c>
      <c r="F333" s="5" t="str">
        <f>DEC2BIN(D333,4)</f>
        <v>0000</v>
      </c>
    </row>
    <row r="334" spans="1:8" x14ac:dyDescent="0.35">
      <c r="B334" s="5" t="s">
        <v>144</v>
      </c>
      <c r="C334" s="5" t="s">
        <v>473</v>
      </c>
      <c r="D334" s="5">
        <v>0</v>
      </c>
      <c r="F334" s="5" t="str">
        <f t="shared" ref="F334:F339" si="7">DEC2BIN(D334,4)</f>
        <v>0000</v>
      </c>
      <c r="G334" s="5" t="str">
        <f>BIN2HEX(MID(G332,1,8),2)</f>
        <v>00</v>
      </c>
      <c r="H334" s="5" t="str">
        <f>G334&amp;G335&amp;G336&amp;G337</f>
        <v>00000000</v>
      </c>
    </row>
    <row r="335" spans="1:8" x14ac:dyDescent="0.35">
      <c r="B335" s="5" t="s">
        <v>156</v>
      </c>
      <c r="C335" s="5" t="s">
        <v>868</v>
      </c>
      <c r="D335" s="5">
        <f>IF(Parameters!H15=15,LU!AU3,0)</f>
        <v>0</v>
      </c>
      <c r="F335" s="5" t="str">
        <f t="shared" si="7"/>
        <v>0000</v>
      </c>
      <c r="G335" s="5" t="str">
        <f>BIN2HEX(MID(G332,9,8),2)</f>
        <v>00</v>
      </c>
    </row>
    <row r="336" spans="1:8" x14ac:dyDescent="0.35">
      <c r="B336" s="5" t="s">
        <v>275</v>
      </c>
      <c r="C336" s="5" t="s">
        <v>473</v>
      </c>
      <c r="D336" s="5">
        <v>0</v>
      </c>
      <c r="F336" s="5" t="str">
        <f t="shared" si="7"/>
        <v>0000</v>
      </c>
      <c r="G336" s="5" t="str">
        <f>BIN2HEX(MID(G332,17,8),2)</f>
        <v>00</v>
      </c>
    </row>
    <row r="337" spans="1:8" x14ac:dyDescent="0.35">
      <c r="B337" s="5" t="s">
        <v>274</v>
      </c>
      <c r="C337" s="5" t="s">
        <v>869</v>
      </c>
      <c r="D337" s="5">
        <f>IF(Parameters!H15=15,LU!AT3,0)</f>
        <v>0</v>
      </c>
      <c r="F337" s="5" t="str">
        <f t="shared" si="7"/>
        <v>0000</v>
      </c>
      <c r="G337" s="5" t="str">
        <f>BIN2HEX(MID(G332,25,8),2)</f>
        <v>00</v>
      </c>
    </row>
    <row r="338" spans="1:8" x14ac:dyDescent="0.35">
      <c r="B338" s="5" t="s">
        <v>162</v>
      </c>
      <c r="C338" s="5" t="s">
        <v>473</v>
      </c>
      <c r="D338" s="5">
        <v>0</v>
      </c>
      <c r="F338" s="5" t="str">
        <f t="shared" si="7"/>
        <v>0000</v>
      </c>
    </row>
    <row r="339" spans="1:8" x14ac:dyDescent="0.35">
      <c r="B339" s="5" t="s">
        <v>158</v>
      </c>
      <c r="C339" s="5" t="s">
        <v>870</v>
      </c>
      <c r="D339" s="5">
        <f>IF(Parameters!H15=15,LU!AS3,0)</f>
        <v>0</v>
      </c>
      <c r="F339" s="5" t="str">
        <f t="shared" si="7"/>
        <v>0000</v>
      </c>
    </row>
    <row r="341" spans="1:8" x14ac:dyDescent="0.35">
      <c r="A341" s="5" t="s">
        <v>823</v>
      </c>
      <c r="B341" s="5" t="s">
        <v>199</v>
      </c>
      <c r="C341" s="5" t="s">
        <v>473</v>
      </c>
      <c r="D341" s="5">
        <v>0</v>
      </c>
      <c r="F341" s="5" t="str">
        <f>DEC2BIN(D341,10)</f>
        <v>0000000000</v>
      </c>
      <c r="G341" s="41" t="str">
        <f>F341&amp;F342&amp;F343&amp;F344&amp;F345&amp;F346&amp;F347</f>
        <v>00000000000111110001111100000000</v>
      </c>
    </row>
    <row r="342" spans="1:8" x14ac:dyDescent="0.35">
      <c r="D342" s="5">
        <v>0</v>
      </c>
      <c r="F342" s="5" t="str">
        <f>DEC2BIN(D342,1)</f>
        <v>0</v>
      </c>
    </row>
    <row r="343" spans="1:8" x14ac:dyDescent="0.35">
      <c r="B343" s="5" t="s">
        <v>200</v>
      </c>
      <c r="C343" s="5" t="s">
        <v>872</v>
      </c>
      <c r="D343" s="5">
        <f>LU!AL3</f>
        <v>31</v>
      </c>
      <c r="F343" s="5" t="str">
        <f>DEC2BIN(D343,5)</f>
        <v>11111</v>
      </c>
      <c r="G343" s="5" t="str">
        <f>BIN2HEX(MID(G341,1,8),2)</f>
        <v>00</v>
      </c>
      <c r="H343" s="5" t="str">
        <f>G343&amp;G344&amp;G345&amp;G346</f>
        <v>001F1F00</v>
      </c>
    </row>
    <row r="344" spans="1:8" x14ac:dyDescent="0.35">
      <c r="B344" s="5" t="s">
        <v>275</v>
      </c>
      <c r="C344" s="5" t="s">
        <v>473</v>
      </c>
      <c r="D344" s="5">
        <v>0</v>
      </c>
      <c r="F344" s="5" t="str">
        <f>DEC2BIN(D344,3)</f>
        <v>000</v>
      </c>
      <c r="G344" s="5" t="str">
        <f>BIN2HEX(MID(G341,9,8),2)</f>
        <v>1F</v>
      </c>
    </row>
    <row r="345" spans="1:8" x14ac:dyDescent="0.35">
      <c r="B345" s="5" t="s">
        <v>274</v>
      </c>
      <c r="C345" s="5" t="s">
        <v>873</v>
      </c>
      <c r="D345" s="5">
        <f>LU!AK3</f>
        <v>31</v>
      </c>
      <c r="F345" s="5" t="str">
        <f>DEC2BIN(D345,5)</f>
        <v>11111</v>
      </c>
      <c r="G345" s="5" t="str">
        <f>BIN2HEX(MID(G341,17,8),2)</f>
        <v>1F</v>
      </c>
    </row>
    <row r="346" spans="1:8" x14ac:dyDescent="0.35">
      <c r="B346" s="5" t="s">
        <v>162</v>
      </c>
      <c r="C346" s="5" t="s">
        <v>473</v>
      </c>
      <c r="D346" s="5">
        <v>0</v>
      </c>
      <c r="F346" s="5" t="str">
        <f>DEC2BIN(D346,4)</f>
        <v>0000</v>
      </c>
      <c r="G346" s="5" t="str">
        <f>BIN2HEX(MID(G341,25,8),2)</f>
        <v>00</v>
      </c>
    </row>
    <row r="347" spans="1:8" x14ac:dyDescent="0.35">
      <c r="B347" s="5" t="s">
        <v>158</v>
      </c>
      <c r="C347" s="5" t="s">
        <v>874</v>
      </c>
      <c r="D347" s="5">
        <f>IF(Parameters!H15=15,LU!AW3,0)</f>
        <v>0</v>
      </c>
      <c r="F347" s="5" t="str">
        <f>DEC2BIN(D347,4)</f>
        <v>0000</v>
      </c>
    </row>
  </sheetData>
  <sheetProtection algorithmName="SHA-512" hashValue="RlT2KtmLt5p7vDWkSOOjW1X4CiLwuShs7yvOcoM+pgyAsyEl4c+zp9DaiZr5Hbd85fFRi8izEIz0D9jdcJldyw==" saltValue="8T7ijzmb6xIswbc8R3TOW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229"/>
  <sheetViews>
    <sheetView topLeftCell="I1" zoomScale="76" zoomScaleNormal="115" workbookViewId="0">
      <selection activeCell="AR18" sqref="AR18"/>
    </sheetView>
  </sheetViews>
  <sheetFormatPr defaultRowHeight="14.5" x14ac:dyDescent="0.35"/>
  <cols>
    <col min="1" max="1" width="8" style="5" customWidth="1"/>
    <col min="2" max="2" width="17.453125" style="5" customWidth="1"/>
    <col min="3" max="3" width="27.453125" style="5" customWidth="1"/>
    <col min="4" max="4" width="7" style="5" customWidth="1"/>
    <col min="5" max="5" width="17.1796875" style="5" customWidth="1"/>
    <col min="6" max="6" width="4.1796875" style="5" hidden="1" customWidth="1"/>
    <col min="7" max="7" width="13.453125" style="5" customWidth="1"/>
    <col min="8" max="10" width="8.7265625" style="5"/>
    <col min="11" max="11" width="27.54296875" style="5" customWidth="1"/>
    <col min="12" max="12" width="29.1796875" style="5" customWidth="1"/>
    <col min="13" max="13" width="8.7265625" style="5"/>
    <col min="14" max="14" width="7.1796875" style="5" hidden="1" customWidth="1"/>
    <col min="15" max="15" width="13.26953125" style="5" customWidth="1"/>
    <col min="16" max="16" width="16.54296875" style="5" customWidth="1"/>
    <col min="17" max="17" width="11.54296875" style="5" customWidth="1"/>
    <col min="18" max="55" width="3.26953125" style="5" customWidth="1"/>
    <col min="56" max="16384" width="8.7265625" style="5"/>
  </cols>
  <sheetData>
    <row r="1" spans="1:56" x14ac:dyDescent="0.35">
      <c r="A1" s="148" t="s">
        <v>500</v>
      </c>
      <c r="B1" s="149"/>
      <c r="C1" s="149"/>
      <c r="D1" s="149"/>
      <c r="E1" s="150"/>
      <c r="F1" s="8"/>
      <c r="G1" s="79" t="s">
        <v>635</v>
      </c>
      <c r="H1" s="15"/>
      <c r="J1" s="148" t="s">
        <v>644</v>
      </c>
      <c r="K1" s="149"/>
      <c r="L1" s="149"/>
      <c r="M1" s="149"/>
      <c r="N1" s="8"/>
      <c r="O1" s="79" t="s">
        <v>635</v>
      </c>
    </row>
    <row r="2" spans="1:56" ht="29" x14ac:dyDescent="0.35">
      <c r="A2" s="78"/>
      <c r="B2" s="78" t="s">
        <v>472</v>
      </c>
      <c r="C2" s="82" t="s">
        <v>640</v>
      </c>
      <c r="D2" s="75" t="str">
        <f t="shared" ref="D2:D9" si="0">DEC2BIN(F2,2)</f>
        <v>00</v>
      </c>
      <c r="E2" s="78"/>
      <c r="F2" s="78">
        <v>0</v>
      </c>
      <c r="G2" s="83" t="e">
        <f>IF(LDDR4_INIT!D3="Reserved",11,LOOKUP(LDDR4_INIT!D3,LU!C2:C4,LU!D2:D4))</f>
        <v>#N/A</v>
      </c>
      <c r="H2" s="15"/>
      <c r="J2" s="82"/>
      <c r="K2" s="82" t="s">
        <v>472</v>
      </c>
      <c r="L2" s="82" t="s">
        <v>640</v>
      </c>
      <c r="M2" s="88" t="str">
        <f>DEC2BIN(N2,2)</f>
        <v>00</v>
      </c>
      <c r="N2" s="82">
        <v>0</v>
      </c>
      <c r="O2" s="89" t="str">
        <f>IF(DDR4_INIT!D2="Reserved",11,LOOKUP(DDR4_INIT!D2,LU!L2:L4,LU!M2:M4))</f>
        <v>11</v>
      </c>
      <c r="S2" s="102" t="s">
        <v>792</v>
      </c>
      <c r="T2" s="102" t="s">
        <v>793</v>
      </c>
      <c r="U2" s="102" t="s">
        <v>794</v>
      </c>
      <c r="V2" s="102" t="s">
        <v>774</v>
      </c>
      <c r="W2" s="102" t="s">
        <v>773</v>
      </c>
      <c r="X2" s="102" t="s">
        <v>772</v>
      </c>
      <c r="Y2" s="102" t="s">
        <v>764</v>
      </c>
      <c r="Z2" s="102" t="s">
        <v>765</v>
      </c>
      <c r="AA2" s="102" t="s">
        <v>766</v>
      </c>
      <c r="AB2" s="102" t="s">
        <v>767</v>
      </c>
      <c r="AC2" s="102" t="s">
        <v>768</v>
      </c>
      <c r="AD2" s="102" t="s">
        <v>769</v>
      </c>
      <c r="AE2" s="102" t="s">
        <v>770</v>
      </c>
      <c r="AF2" s="102" t="s">
        <v>771</v>
      </c>
      <c r="AG2" s="102" t="s">
        <v>799</v>
      </c>
      <c r="AH2" s="102" t="s">
        <v>800</v>
      </c>
      <c r="AI2" s="102" t="s">
        <v>801</v>
      </c>
      <c r="AJ2" s="102" t="s">
        <v>802</v>
      </c>
      <c r="AK2" s="102" t="s">
        <v>803</v>
      </c>
      <c r="AL2" s="102" t="s">
        <v>804</v>
      </c>
      <c r="AM2" s="102" t="s">
        <v>775</v>
      </c>
      <c r="AN2" s="102" t="s">
        <v>776</v>
      </c>
      <c r="AO2" s="102" t="s">
        <v>777</v>
      </c>
      <c r="AP2" s="102" t="s">
        <v>778</v>
      </c>
      <c r="AQ2" s="102" t="s">
        <v>779</v>
      </c>
      <c r="AR2" s="102" t="s">
        <v>780</v>
      </c>
      <c r="AS2" s="102" t="s">
        <v>781</v>
      </c>
      <c r="AT2" s="102" t="s">
        <v>782</v>
      </c>
      <c r="AU2" s="102" t="s">
        <v>783</v>
      </c>
      <c r="AV2" s="102" t="s">
        <v>784</v>
      </c>
      <c r="AW2" s="102" t="s">
        <v>785</v>
      </c>
      <c r="AX2" s="102" t="s">
        <v>786</v>
      </c>
      <c r="AY2" s="102" t="s">
        <v>787</v>
      </c>
      <c r="AZ2" s="102" t="s">
        <v>788</v>
      </c>
      <c r="BA2" s="102" t="s">
        <v>789</v>
      </c>
      <c r="BB2" s="102" t="s">
        <v>790</v>
      </c>
      <c r="BC2" s="102" t="s">
        <v>763</v>
      </c>
      <c r="BD2" s="102" t="s">
        <v>807</v>
      </c>
    </row>
    <row r="3" spans="1:56" ht="58" x14ac:dyDescent="0.35">
      <c r="A3" s="78"/>
      <c r="B3" s="78"/>
      <c r="C3" s="82" t="s">
        <v>641</v>
      </c>
      <c r="D3" s="75" t="str">
        <f t="shared" si="0"/>
        <v>01</v>
      </c>
      <c r="E3" s="78"/>
      <c r="F3" s="78">
        <v>1</v>
      </c>
      <c r="G3" s="78"/>
      <c r="H3" s="15"/>
      <c r="J3" s="82"/>
      <c r="K3" s="82"/>
      <c r="L3" s="82" t="s">
        <v>641</v>
      </c>
      <c r="M3" s="88" t="str">
        <f>DEC2BIN(N3,2)</f>
        <v>01</v>
      </c>
      <c r="N3" s="82">
        <v>1</v>
      </c>
      <c r="O3" s="82"/>
      <c r="R3" s="20" t="s">
        <v>798</v>
      </c>
      <c r="S3" s="78">
        <f>IF(Parameters!H17="NA",31,Parameters!H17-2)</f>
        <v>31</v>
      </c>
      <c r="T3" s="78">
        <f>IF(Parameters!I17="NA",31,Parameters!I17-7)</f>
        <v>31</v>
      </c>
      <c r="U3" s="78">
        <f>IF(Parameters!J17="NA",31,Parameters!J17-6)</f>
        <v>19</v>
      </c>
      <c r="V3" s="78">
        <f>IF(Parameters!K17="NA",63,Parameters!K17-4)</f>
        <v>63</v>
      </c>
      <c r="W3" s="78">
        <f>IF(Parameters!L17="NA",63,Parameters!L17-3)</f>
        <v>5</v>
      </c>
      <c r="X3" s="78">
        <f>IF(Parameters!M17="NA",63,Parameters!M17-2)</f>
        <v>5</v>
      </c>
      <c r="Y3" s="78">
        <f>Parameters!N17-2</f>
        <v>0</v>
      </c>
      <c r="Z3" s="78">
        <f>Parameters!O17-3</f>
        <v>0</v>
      </c>
      <c r="AA3" s="78">
        <f>Parameters!P17-4</f>
        <v>0</v>
      </c>
      <c r="AB3" s="78">
        <f>Parameters!Q17-5</f>
        <v>0</v>
      </c>
      <c r="AC3" s="78">
        <f>Parameters!R17-6</f>
        <v>0</v>
      </c>
      <c r="AD3" s="78">
        <f>Parameters!S17-7</f>
        <v>20</v>
      </c>
      <c r="AE3" s="78">
        <f>Parameters!T17-8</f>
        <v>20</v>
      </c>
      <c r="AF3" s="78">
        <f>IF(Parameters!U17="NA",31,Parameters!U17-9)</f>
        <v>20</v>
      </c>
      <c r="AG3" s="78">
        <f>IF(Parameters!V17="NA",31,Parameters!V17-10)</f>
        <v>31</v>
      </c>
      <c r="AH3" s="78">
        <f>IF(Parameters!W17="NA",31,Parameters!W17-11)</f>
        <v>31</v>
      </c>
      <c r="AI3" s="78">
        <f>IF(Parameters!X17="NA",63,Parameters!X17-2)</f>
        <v>7</v>
      </c>
      <c r="AJ3" s="78">
        <f>IF(Parameters!Y17="NA",63,Parameters!Y17-3)</f>
        <v>63</v>
      </c>
      <c r="AK3" s="78">
        <f>IF(Parameters!Z17="NA",31,Parameters!Z17-4)</f>
        <v>31</v>
      </c>
      <c r="AL3" s="78">
        <f>IF(Parameters!AA17="NA",31,Parameters!AA17-5)</f>
        <v>31</v>
      </c>
      <c r="AM3" s="78">
        <f>Parameters!AB17-6</f>
        <v>4</v>
      </c>
      <c r="AN3" s="78">
        <f>Parameters!AC17-7</f>
        <v>4</v>
      </c>
      <c r="AO3" s="78">
        <f>Parameters!AD17-8</f>
        <v>4</v>
      </c>
      <c r="AP3" s="78">
        <f>IF(Parameters!AE17="NA",63,Parameters!AE17-9)</f>
        <v>4</v>
      </c>
      <c r="AQ3" s="78">
        <f>IF(Parameters!AF17="NA",63,Parameters!AF17-10)</f>
        <v>4</v>
      </c>
      <c r="AR3" s="78">
        <f>IF(Parameters!AG17="NA",63,Parameters!AG17-11)</f>
        <v>4</v>
      </c>
      <c r="AS3" s="78">
        <f>IF(Parameters!AH17="NA",63,Parameters!AH17-12)</f>
        <v>4</v>
      </c>
      <c r="AT3" s="78">
        <f>IF(Parameters!AI17="NA",63,Parameters!AI17-13)</f>
        <v>4</v>
      </c>
      <c r="AU3" s="78">
        <f>IF(Parameters!AJ17="NA",63,Parameters!AJ17-14)</f>
        <v>4</v>
      </c>
      <c r="AV3" s="78">
        <f>IF(Parameters!AK17="NA",63,Parameters!AK17-15)</f>
        <v>4</v>
      </c>
      <c r="AW3" s="78">
        <f>IF(Parameters!AL17="NA",63,Parameters!AL17-16)</f>
        <v>4</v>
      </c>
      <c r="AX3" s="78">
        <f>IF(Parameters!AM17="NA",63,Parameters!AM17-17)</f>
        <v>4</v>
      </c>
      <c r="AY3" s="78">
        <f>IF(Parameters!AN17="NA",15,Parameters!AN17-18)</f>
        <v>4</v>
      </c>
      <c r="AZ3" s="78">
        <f>IF(Parameters!AO17="NA",15,Parameters!AO17-19)</f>
        <v>4</v>
      </c>
      <c r="BA3" s="78">
        <f>IF(Parameters!AP17="NA",15,Parameters!AP17-20)</f>
        <v>4</v>
      </c>
      <c r="BB3" s="78">
        <f>IF(Parameters!AQ17="NA",15,Parameters!AQ17-21)</f>
        <v>15</v>
      </c>
      <c r="BC3" s="78">
        <f>IF(Parameters!AR17="NA",15,Parameters!AR17-22)</f>
        <v>15</v>
      </c>
      <c r="BD3" s="78">
        <f>IF(Parameters!AS17="NA",15,Parameters!AS17-23)</f>
        <v>15</v>
      </c>
    </row>
    <row r="4" spans="1:56" ht="58" x14ac:dyDescent="0.35">
      <c r="A4" s="78"/>
      <c r="B4" s="78"/>
      <c r="C4" s="82" t="s">
        <v>642</v>
      </c>
      <c r="D4" s="75" t="str">
        <f t="shared" si="0"/>
        <v>11</v>
      </c>
      <c r="E4" s="78"/>
      <c r="F4" s="78">
        <v>3</v>
      </c>
      <c r="G4" s="78"/>
      <c r="H4" s="21"/>
      <c r="J4" s="82"/>
      <c r="K4" s="82"/>
      <c r="L4" s="82" t="s">
        <v>642</v>
      </c>
      <c r="M4" s="88" t="str">
        <f>DEC2BIN(N4,2)</f>
        <v>11</v>
      </c>
      <c r="N4" s="82">
        <v>3</v>
      </c>
      <c r="O4" s="82"/>
      <c r="R4"/>
      <c r="S4"/>
      <c r="T4"/>
      <c r="U4"/>
      <c r="V4"/>
      <c r="W4"/>
      <c r="X4"/>
      <c r="Y4" s="101"/>
      <c r="Z4"/>
      <c r="AA4"/>
      <c r="AB4" s="101"/>
      <c r="AC4" s="101"/>
      <c r="AD4" s="101"/>
      <c r="AE4"/>
      <c r="AF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6" x14ac:dyDescent="0.35">
      <c r="A5" s="84"/>
      <c r="B5" s="84"/>
      <c r="C5" s="78" t="s">
        <v>499</v>
      </c>
      <c r="D5" s="75" t="str">
        <f t="shared" si="0"/>
        <v>10</v>
      </c>
      <c r="E5" s="84"/>
      <c r="F5" s="78">
        <v>2</v>
      </c>
      <c r="G5" s="78"/>
      <c r="H5" s="21"/>
      <c r="J5" s="84"/>
      <c r="K5" s="84"/>
      <c r="L5" s="78" t="s">
        <v>499</v>
      </c>
      <c r="M5" s="75" t="str">
        <f>DEC2BIN(N5,2)</f>
        <v>10</v>
      </c>
      <c r="N5" s="78">
        <v>2</v>
      </c>
      <c r="O5" s="78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6" x14ac:dyDescent="0.35">
      <c r="A6" s="80" t="s">
        <v>493</v>
      </c>
      <c r="B6" s="8" t="s">
        <v>107</v>
      </c>
      <c r="C6" s="17" t="s">
        <v>506</v>
      </c>
      <c r="D6" s="75" t="str">
        <f t="shared" si="0"/>
        <v>00</v>
      </c>
      <c r="E6" s="8"/>
      <c r="F6" s="74">
        <v>0</v>
      </c>
      <c r="G6" s="75" t="e">
        <f>IF(LDDR4_INIT!D8="Reserved",11,LOOKUP(LDDR4_INIT!D8,LU!C6:C8,LU!D6:D8))</f>
        <v>#N/A</v>
      </c>
      <c r="H6" s="15"/>
      <c r="J6" s="80" t="s">
        <v>639</v>
      </c>
      <c r="K6" s="8" t="s">
        <v>645</v>
      </c>
      <c r="L6" s="8" t="s">
        <v>646</v>
      </c>
      <c r="M6" s="8" t="str">
        <f>DEC2BIN(N6,4)</f>
        <v>0000</v>
      </c>
      <c r="N6" s="8">
        <v>0</v>
      </c>
      <c r="O6" s="92" t="str">
        <f>IF(DDR4_INIT!D3="Reserved",1111,LOOKUP(DDR4_INIT!D3,LU!L6:L14,LU!M6:M14))</f>
        <v>0101</v>
      </c>
      <c r="P6" s="144" t="str">
        <f>O6&amp;O7&amp;O8&amp;O9&amp;O10&amp;O11</f>
        <v>01010001000000</v>
      </c>
      <c r="Q6">
        <v>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6" x14ac:dyDescent="0.35">
      <c r="A7" s="8"/>
      <c r="B7" s="8"/>
      <c r="C7" s="17" t="s">
        <v>498</v>
      </c>
      <c r="D7" s="75" t="str">
        <f t="shared" si="0"/>
        <v>01</v>
      </c>
      <c r="E7" s="8"/>
      <c r="F7" s="74">
        <v>1</v>
      </c>
      <c r="G7" s="8"/>
      <c r="H7" s="21"/>
      <c r="J7" s="8"/>
      <c r="K7" s="8"/>
      <c r="L7" s="8" t="s">
        <v>647</v>
      </c>
      <c r="M7" s="8" t="str">
        <f t="shared" ref="M7:M15" si="1">DEC2BIN(N7,4)</f>
        <v>0001</v>
      </c>
      <c r="N7" s="8">
        <v>1</v>
      </c>
      <c r="O7" s="92" t="str">
        <f>LOOKUP(DDR4_INIT!D4,LU!L16:L17,LU!M16:M17)</f>
        <v>0</v>
      </c>
      <c r="P7" s="144" t="str">
        <f>MID(P6,1,1)&amp;MID(P6,7,1)&amp;MID(P6,2,5)&amp;MID(P6,8,3)&amp;MID(P6,12,1)&amp;MID(P6,11,1)&amp;MID(P6,13,2)</f>
        <v>00101001000000</v>
      </c>
      <c r="Q7">
        <v>1</v>
      </c>
      <c r="R7"/>
      <c r="S7" t="s">
        <v>876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6" x14ac:dyDescent="0.35">
      <c r="A8" s="8"/>
      <c r="B8" s="8"/>
      <c r="C8" s="17" t="s">
        <v>507</v>
      </c>
      <c r="D8" s="75" t="str">
        <f t="shared" si="0"/>
        <v>10</v>
      </c>
      <c r="E8" s="8"/>
      <c r="F8" s="74">
        <v>2</v>
      </c>
      <c r="G8" s="8"/>
      <c r="H8" s="15"/>
      <c r="J8" s="8"/>
      <c r="K8" s="8"/>
      <c r="L8" s="8" t="s">
        <v>648</v>
      </c>
      <c r="M8" s="8" t="str">
        <f t="shared" si="1"/>
        <v>0010</v>
      </c>
      <c r="N8" s="8">
        <v>2</v>
      </c>
      <c r="O8" s="92" t="str">
        <f>LOOKUP(DDR4_INIT!D5,LU!L18:L19,LU!M18:M19)</f>
        <v>0</v>
      </c>
      <c r="P8" s="1" t="str">
        <f>BIN2HEX(MID(P7,1,6),2)</f>
        <v>0A</v>
      </c>
      <c r="Q8">
        <v>0</v>
      </c>
      <c r="R8" t="str">
        <f>DEC2BIN(Q8,2)</f>
        <v>00</v>
      </c>
      <c r="S8">
        <v>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6" x14ac:dyDescent="0.35">
      <c r="A9" s="8"/>
      <c r="B9" s="8"/>
      <c r="C9" s="17" t="s">
        <v>499</v>
      </c>
      <c r="D9" s="75" t="str">
        <f t="shared" si="0"/>
        <v>11</v>
      </c>
      <c r="E9" s="8"/>
      <c r="F9" s="74">
        <v>3</v>
      </c>
      <c r="G9" s="8"/>
      <c r="H9" s="21"/>
      <c r="J9" s="8"/>
      <c r="K9" s="8"/>
      <c r="L9" s="8" t="s">
        <v>649</v>
      </c>
      <c r="M9" s="8" t="str">
        <f t="shared" si="1"/>
        <v>0011</v>
      </c>
      <c r="N9" s="8">
        <v>3</v>
      </c>
      <c r="O9" s="92" t="str">
        <f>IF(DDR4_INIT!D6="Reserved",11000,LOOKUP(DDR4_INIT!D6,LU!L20:L44,LU!M20:M44))</f>
        <v>01000</v>
      </c>
      <c r="P9" s="1" t="str">
        <f>BIN2HEX(MID(P7,7,8),2)</f>
        <v>40</v>
      </c>
      <c r="Q9">
        <v>1</v>
      </c>
      <c r="R9" t="str">
        <f>DEC2BIN(Q9,2)</f>
        <v>01</v>
      </c>
      <c r="S9">
        <v>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6" x14ac:dyDescent="0.35">
      <c r="A10" s="8"/>
      <c r="B10" s="8" t="s">
        <v>494</v>
      </c>
      <c r="C10" s="17" t="s">
        <v>499</v>
      </c>
      <c r="D10" s="75" t="str">
        <f>DEC2BIN(F10,1)</f>
        <v>0</v>
      </c>
      <c r="E10" s="8"/>
      <c r="F10" s="74">
        <v>0</v>
      </c>
      <c r="G10" s="74" t="e">
        <f>LOOKUP(LDDR4_INIT!D7,LU!C10:C11,LU!D10:D11)</f>
        <v>#N/A</v>
      </c>
      <c r="H10" s="73"/>
      <c r="J10" s="8"/>
      <c r="K10" s="8"/>
      <c r="L10" s="8" t="s">
        <v>650</v>
      </c>
      <c r="M10" s="8" t="str">
        <f t="shared" si="1"/>
        <v>0100</v>
      </c>
      <c r="N10" s="8">
        <v>4</v>
      </c>
      <c r="O10" s="98">
        <f>IF(DDR4_INIT!D7="Sequential",0,1)</f>
        <v>0</v>
      </c>
      <c r="P10" s="15"/>
      <c r="Q10">
        <v>2</v>
      </c>
      <c r="R10" t="str">
        <f>DEC2BIN(Q10,2)</f>
        <v>10</v>
      </c>
      <c r="S10">
        <v>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6" x14ac:dyDescent="0.35">
      <c r="A11" s="8"/>
      <c r="B11" s="8"/>
      <c r="C11" s="17" t="s">
        <v>501</v>
      </c>
      <c r="D11" s="75" t="str">
        <f>DEC2BIN(F11,1)</f>
        <v>1</v>
      </c>
      <c r="E11" s="8"/>
      <c r="F11" s="74">
        <v>1</v>
      </c>
      <c r="G11" s="8"/>
      <c r="H11" s="21"/>
      <c r="J11" s="8"/>
      <c r="K11" s="8"/>
      <c r="L11" s="8" t="s">
        <v>651</v>
      </c>
      <c r="M11" s="8" t="str">
        <f t="shared" si="1"/>
        <v>0101</v>
      </c>
      <c r="N11" s="8">
        <v>5</v>
      </c>
      <c r="O11" s="98" t="str">
        <f>LOOKUP(DDR4_INIT!D8,LU!L47:L50,LU!M47:M50)</f>
        <v>00</v>
      </c>
      <c r="P11" s="15"/>
      <c r="Q11">
        <v>3</v>
      </c>
      <c r="R11" t="str">
        <f>DEC2BIN(Q11,2)</f>
        <v>11</v>
      </c>
      <c r="S11">
        <v>3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6" x14ac:dyDescent="0.35">
      <c r="A12" s="8"/>
      <c r="B12" s="8" t="s">
        <v>495</v>
      </c>
      <c r="C12" s="17" t="s">
        <v>502</v>
      </c>
      <c r="D12" s="75" t="str">
        <f>DEC2BIN(F12,1)</f>
        <v>0</v>
      </c>
      <c r="E12" s="8"/>
      <c r="F12" s="74">
        <v>0</v>
      </c>
      <c r="G12" s="74" t="e">
        <f>LOOKUP(LDDR4_INIT!D6,LU!C12:C13,LU!D12:D13)</f>
        <v>#N/A</v>
      </c>
      <c r="H12" s="21"/>
      <c r="J12" s="8"/>
      <c r="K12" s="8"/>
      <c r="L12" s="8" t="s">
        <v>903</v>
      </c>
      <c r="M12" s="8" t="str">
        <f>DEC2BIN(N13,4)</f>
        <v>0111</v>
      </c>
      <c r="N12" s="8">
        <v>6</v>
      </c>
      <c r="O12" s="8"/>
      <c r="Q12"/>
      <c r="R12"/>
      <c r="S12">
        <v>4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6" x14ac:dyDescent="0.35">
      <c r="A13" s="8"/>
      <c r="B13" s="8"/>
      <c r="C13" s="17" t="s">
        <v>503</v>
      </c>
      <c r="D13" s="75" t="str">
        <f>DEC2BIN(F13,1)</f>
        <v>1</v>
      </c>
      <c r="E13" s="8"/>
      <c r="F13" s="74">
        <v>1</v>
      </c>
      <c r="G13" s="8"/>
      <c r="H13" s="21"/>
      <c r="J13" s="8"/>
      <c r="K13" s="8"/>
      <c r="L13" s="8" t="s">
        <v>902</v>
      </c>
      <c r="M13" s="8" t="str">
        <f>DEC2BIN(N12,4)</f>
        <v>0110</v>
      </c>
      <c r="N13" s="8">
        <v>7</v>
      </c>
      <c r="O13" s="8"/>
      <c r="Q13"/>
      <c r="R13"/>
      <c r="S13">
        <v>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6" x14ac:dyDescent="0.35">
      <c r="A14" s="8"/>
      <c r="B14" s="8" t="s">
        <v>496</v>
      </c>
      <c r="C14" s="17">
        <v>6</v>
      </c>
      <c r="D14" s="75" t="str">
        <f t="shared" ref="D14:D21" si="2">DEC2BIN(F14,3)</f>
        <v>000</v>
      </c>
      <c r="E14" s="8"/>
      <c r="F14" s="74">
        <v>0</v>
      </c>
      <c r="G14" s="74" t="e">
        <f>LOOKUP(LDDR4_INIT!D5,LU!C14:C21,LU!D14:D21)</f>
        <v>#N/A</v>
      </c>
      <c r="H14" s="21"/>
      <c r="J14" s="8"/>
      <c r="K14" s="8"/>
      <c r="L14" s="8" t="s">
        <v>652</v>
      </c>
      <c r="M14" s="8" t="str">
        <f t="shared" si="1"/>
        <v>1000</v>
      </c>
      <c r="N14" s="8">
        <v>8</v>
      </c>
      <c r="O14" s="8"/>
      <c r="Q14"/>
      <c r="R14"/>
      <c r="S14">
        <v>6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6" x14ac:dyDescent="0.35">
      <c r="A15" s="8"/>
      <c r="B15" s="8"/>
      <c r="C15" s="17">
        <v>10</v>
      </c>
      <c r="D15" s="75" t="str">
        <f t="shared" si="2"/>
        <v>001</v>
      </c>
      <c r="E15" s="8"/>
      <c r="F15" s="74">
        <v>1</v>
      </c>
      <c r="G15" s="8"/>
      <c r="H15" s="21"/>
      <c r="J15" s="8"/>
      <c r="K15" s="8"/>
      <c r="L15" s="8" t="s">
        <v>499</v>
      </c>
      <c r="M15" s="8" t="str">
        <f t="shared" si="1"/>
        <v>1001</v>
      </c>
      <c r="N15" s="8">
        <v>9</v>
      </c>
      <c r="O15" s="8"/>
      <c r="Q15"/>
      <c r="R15"/>
      <c r="S15">
        <v>7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6" x14ac:dyDescent="0.35">
      <c r="A16" s="8"/>
      <c r="B16" s="8"/>
      <c r="C16" s="17">
        <v>16</v>
      </c>
      <c r="D16" s="75" t="str">
        <f t="shared" si="2"/>
        <v>010</v>
      </c>
      <c r="E16" s="8"/>
      <c r="F16" s="74">
        <v>2</v>
      </c>
      <c r="G16" s="8"/>
      <c r="H16" s="21"/>
      <c r="J16" s="8"/>
      <c r="K16" s="8" t="s">
        <v>653</v>
      </c>
      <c r="L16" s="8" t="s">
        <v>654</v>
      </c>
      <c r="M16" s="8" t="str">
        <f>DEC2BIN(N16,1)</f>
        <v>0</v>
      </c>
      <c r="N16" s="8">
        <v>0</v>
      </c>
      <c r="O16" s="8"/>
      <c r="Q16"/>
      <c r="R16"/>
      <c r="S16">
        <v>8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x14ac:dyDescent="0.35">
      <c r="A17" s="8"/>
      <c r="B17" s="8"/>
      <c r="C17" s="17">
        <v>20</v>
      </c>
      <c r="D17" s="75" t="str">
        <f t="shared" si="2"/>
        <v>011</v>
      </c>
      <c r="E17" s="8"/>
      <c r="F17" s="74">
        <v>3</v>
      </c>
      <c r="G17" s="8"/>
      <c r="H17" s="21"/>
      <c r="J17" s="8"/>
      <c r="K17" s="8"/>
      <c r="L17" s="8" t="s">
        <v>655</v>
      </c>
      <c r="M17" s="8" t="str">
        <f>DEC2BIN(N17,1)</f>
        <v>1</v>
      </c>
      <c r="N17" s="8">
        <v>1</v>
      </c>
      <c r="O17" s="8"/>
      <c r="Q17"/>
      <c r="R17"/>
      <c r="S17">
        <v>9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x14ac:dyDescent="0.35">
      <c r="A18" s="8"/>
      <c r="B18" s="8"/>
      <c r="C18" s="17">
        <v>24</v>
      </c>
      <c r="D18" s="75" t="str">
        <f t="shared" si="2"/>
        <v>100</v>
      </c>
      <c r="E18" s="8"/>
      <c r="F18" s="74">
        <v>4</v>
      </c>
      <c r="G18" s="8"/>
      <c r="H18" s="72"/>
      <c r="J18" s="8"/>
      <c r="K18" s="8" t="s">
        <v>656</v>
      </c>
      <c r="L18" s="8" t="s">
        <v>657</v>
      </c>
      <c r="M18" s="8" t="str">
        <f>DEC2BIN(N18,1)</f>
        <v>0</v>
      </c>
      <c r="N18" s="8">
        <v>0</v>
      </c>
      <c r="O18" s="8"/>
      <c r="Q18"/>
      <c r="R18"/>
      <c r="S18">
        <v>10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35">
      <c r="A19" s="8"/>
      <c r="B19" s="8"/>
      <c r="C19" s="17">
        <v>30</v>
      </c>
      <c r="D19" s="75" t="str">
        <f t="shared" si="2"/>
        <v>101</v>
      </c>
      <c r="E19" s="8"/>
      <c r="F19" s="74">
        <v>5</v>
      </c>
      <c r="G19" s="8"/>
      <c r="H19" s="21"/>
      <c r="J19" s="8"/>
      <c r="K19" s="8"/>
      <c r="L19" s="8" t="s">
        <v>658</v>
      </c>
      <c r="M19" s="8" t="str">
        <f>DEC2BIN(N19,1)</f>
        <v>1</v>
      </c>
      <c r="N19" s="8">
        <v>1</v>
      </c>
      <c r="O19" s="8"/>
      <c r="Q19"/>
      <c r="R19"/>
      <c r="S19">
        <v>11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x14ac:dyDescent="0.35">
      <c r="A20" s="8"/>
      <c r="B20" s="8"/>
      <c r="C20" s="17">
        <v>34</v>
      </c>
      <c r="D20" s="75" t="str">
        <f t="shared" si="2"/>
        <v>110</v>
      </c>
      <c r="E20" s="8"/>
      <c r="F20" s="74">
        <v>6</v>
      </c>
      <c r="G20" s="8"/>
      <c r="H20" s="15"/>
      <c r="J20" s="8"/>
      <c r="K20" s="8" t="s">
        <v>659</v>
      </c>
      <c r="L20" s="8">
        <v>9</v>
      </c>
      <c r="M20" s="8" t="str">
        <f>DEC2BIN(N20,5)</f>
        <v>00000</v>
      </c>
      <c r="N20" s="8">
        <v>0</v>
      </c>
      <c r="O20" s="8"/>
      <c r="Q20"/>
      <c r="R20"/>
      <c r="S20">
        <v>15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x14ac:dyDescent="0.35">
      <c r="A21" s="8"/>
      <c r="B21" s="8"/>
      <c r="C21" s="17">
        <v>40</v>
      </c>
      <c r="D21" s="75" t="str">
        <f t="shared" si="2"/>
        <v>111</v>
      </c>
      <c r="E21" s="8"/>
      <c r="F21" s="74">
        <v>7</v>
      </c>
      <c r="G21" s="8"/>
      <c r="H21" s="21"/>
      <c r="J21" s="8"/>
      <c r="K21" s="8"/>
      <c r="L21" s="8">
        <v>10</v>
      </c>
      <c r="M21" s="8" t="str">
        <f t="shared" ref="M21:M44" si="3">DEC2BIN(N21,5)</f>
        <v>00001</v>
      </c>
      <c r="N21" s="8">
        <v>1</v>
      </c>
      <c r="O21" s="8"/>
    </row>
    <row r="22" spans="1:55" ht="29" x14ac:dyDescent="0.35">
      <c r="A22" s="8"/>
      <c r="B22" s="8" t="s">
        <v>497</v>
      </c>
      <c r="C22" s="17" t="s">
        <v>504</v>
      </c>
      <c r="D22" s="75" t="str">
        <f t="shared" ref="D22:D27" si="4">DEC2BIN(F22,1)</f>
        <v>0</v>
      </c>
      <c r="E22" s="8"/>
      <c r="F22" s="74">
        <v>0</v>
      </c>
      <c r="G22" s="74" t="e">
        <f>LOOKUP(LDDR4_INIT!D4,LU!C22:C23,LU!D22:D23)</f>
        <v>#N/A</v>
      </c>
      <c r="H22" s="15"/>
      <c r="J22" s="8"/>
      <c r="K22" s="8"/>
      <c r="L22" s="8">
        <v>11</v>
      </c>
      <c r="M22" s="8" t="str">
        <f t="shared" si="3"/>
        <v>00010</v>
      </c>
      <c r="N22" s="8">
        <v>2</v>
      </c>
      <c r="O22" s="8"/>
    </row>
    <row r="23" spans="1:55" x14ac:dyDescent="0.35">
      <c r="A23" s="8"/>
      <c r="B23" s="8"/>
      <c r="C23" s="17" t="s">
        <v>505</v>
      </c>
      <c r="D23" s="75" t="str">
        <f t="shared" si="4"/>
        <v>1</v>
      </c>
      <c r="E23" s="8"/>
      <c r="F23" s="74">
        <v>1</v>
      </c>
      <c r="G23" s="8"/>
      <c r="H23" s="21"/>
      <c r="J23" s="8"/>
      <c r="K23" s="8"/>
      <c r="L23" s="8">
        <v>12</v>
      </c>
      <c r="M23" s="8" t="str">
        <f t="shared" si="3"/>
        <v>00011</v>
      </c>
      <c r="N23" s="8">
        <v>3</v>
      </c>
      <c r="O23" s="8"/>
    </row>
    <row r="24" spans="1:55" x14ac:dyDescent="0.35">
      <c r="A24" s="80" t="s">
        <v>508</v>
      </c>
      <c r="B24" s="8" t="s">
        <v>510</v>
      </c>
      <c r="C24" s="17" t="s">
        <v>511</v>
      </c>
      <c r="D24" s="75" t="str">
        <f t="shared" si="4"/>
        <v>0</v>
      </c>
      <c r="E24" s="8"/>
      <c r="F24" s="74">
        <v>0</v>
      </c>
      <c r="G24" s="8" t="e">
        <f>LOOKUP(LDDR4_INIT!D9,LU!C24:C25,LU!D24:D25)</f>
        <v>#N/A</v>
      </c>
      <c r="H24" s="15"/>
      <c r="J24" s="8"/>
      <c r="K24" s="8"/>
      <c r="L24" s="8">
        <v>13</v>
      </c>
      <c r="M24" s="8" t="str">
        <f t="shared" si="3"/>
        <v>00100</v>
      </c>
      <c r="N24" s="8">
        <v>4</v>
      </c>
      <c r="O24" s="8"/>
    </row>
    <row r="25" spans="1:55" x14ac:dyDescent="0.35">
      <c r="A25" s="8"/>
      <c r="B25" s="8"/>
      <c r="C25" s="17" t="s">
        <v>512</v>
      </c>
      <c r="D25" s="75" t="str">
        <f t="shared" si="4"/>
        <v>1</v>
      </c>
      <c r="E25" s="8"/>
      <c r="F25" s="74">
        <v>1</v>
      </c>
      <c r="G25" s="8"/>
      <c r="H25" s="21"/>
      <c r="J25" s="8"/>
      <c r="K25" s="8"/>
      <c r="L25" s="8">
        <v>14</v>
      </c>
      <c r="M25" s="8" t="str">
        <f t="shared" si="3"/>
        <v>00101</v>
      </c>
      <c r="N25" s="8">
        <v>5</v>
      </c>
      <c r="O25" s="8"/>
    </row>
    <row r="26" spans="1:55" x14ac:dyDescent="0.35">
      <c r="A26" s="8"/>
      <c r="B26" s="8" t="s">
        <v>509</v>
      </c>
      <c r="C26" s="17" t="s">
        <v>521</v>
      </c>
      <c r="D26" s="75" t="str">
        <f t="shared" si="4"/>
        <v>0</v>
      </c>
      <c r="E26" s="8"/>
      <c r="F26" s="74">
        <v>0</v>
      </c>
      <c r="G26" s="8" t="e">
        <f>LOOKUP(LDDR4_INIT!D10,LU!C26:C27,LU!D26:D27)</f>
        <v>#N/A</v>
      </c>
      <c r="H26" s="21"/>
      <c r="J26" s="8"/>
      <c r="K26" s="1"/>
      <c r="L26" s="8">
        <v>15</v>
      </c>
      <c r="M26" s="8" t="str">
        <f t="shared" si="3"/>
        <v>00110</v>
      </c>
      <c r="N26" s="8">
        <v>6</v>
      </c>
      <c r="O26" s="8"/>
    </row>
    <row r="27" spans="1:55" x14ac:dyDescent="0.35">
      <c r="A27" s="8"/>
      <c r="B27" s="8"/>
      <c r="C27" s="17" t="s">
        <v>522</v>
      </c>
      <c r="D27" s="75" t="str">
        <f t="shared" si="4"/>
        <v>1</v>
      </c>
      <c r="E27" s="8"/>
      <c r="F27" s="74">
        <v>1</v>
      </c>
      <c r="G27" s="8"/>
      <c r="H27" s="21"/>
      <c r="J27" s="8"/>
      <c r="K27" s="1"/>
      <c r="L27" s="8">
        <v>16</v>
      </c>
      <c r="M27" s="8" t="str">
        <f t="shared" si="3"/>
        <v>00111</v>
      </c>
      <c r="N27" s="8">
        <v>7</v>
      </c>
      <c r="O27" s="8"/>
    </row>
    <row r="28" spans="1:55" x14ac:dyDescent="0.35">
      <c r="A28" s="8"/>
      <c r="B28" s="8" t="s">
        <v>106</v>
      </c>
      <c r="C28" s="17" t="s">
        <v>608</v>
      </c>
      <c r="D28" s="75" t="str">
        <f t="shared" ref="D28:D43" si="5">DEC2BIN(F28,3)</f>
        <v>000</v>
      </c>
      <c r="E28" s="8">
        <v>4</v>
      </c>
      <c r="F28" s="74">
        <v>0</v>
      </c>
      <c r="G28" s="76" t="e">
        <f>IF(LDDR4_INIT!D10="WL Set A (default)",LOOKUP(LDDR4_INIT!D11,LU!C28:C35,LU!D28:D35),LOOKUP(LDDR4_INIT!D11,LU!E28:E35,LU!D28:D35))</f>
        <v>#N/A</v>
      </c>
      <c r="H28" s="21"/>
      <c r="J28" s="8"/>
      <c r="K28" s="1"/>
      <c r="L28" s="8">
        <v>17</v>
      </c>
      <c r="M28" s="8" t="str">
        <f>DEC2BIN(N33,5)</f>
        <v>01101</v>
      </c>
      <c r="N28" s="8">
        <v>8</v>
      </c>
      <c r="O28" s="8"/>
    </row>
    <row r="29" spans="1:55" x14ac:dyDescent="0.35">
      <c r="A29" s="8"/>
      <c r="B29" s="8"/>
      <c r="C29" s="17" t="s">
        <v>609</v>
      </c>
      <c r="D29" s="75" t="str">
        <f t="shared" si="5"/>
        <v>001</v>
      </c>
      <c r="E29" s="8">
        <v>8</v>
      </c>
      <c r="F29" s="74">
        <v>1</v>
      </c>
      <c r="G29" s="75"/>
      <c r="H29" s="21"/>
      <c r="J29" s="8"/>
      <c r="K29" s="1"/>
      <c r="L29" s="8">
        <v>18</v>
      </c>
      <c r="M29" s="8" t="str">
        <f>DEC2BIN(N28,5)</f>
        <v>01000</v>
      </c>
      <c r="N29" s="8">
        <v>9</v>
      </c>
      <c r="O29" s="8"/>
    </row>
    <row r="30" spans="1:55" x14ac:dyDescent="0.35">
      <c r="A30" s="8"/>
      <c r="B30" s="8"/>
      <c r="C30" s="17" t="s">
        <v>610</v>
      </c>
      <c r="D30" s="75" t="str">
        <f t="shared" si="5"/>
        <v>010</v>
      </c>
      <c r="E30" s="8">
        <v>12</v>
      </c>
      <c r="F30" s="74">
        <v>2</v>
      </c>
      <c r="G30" s="75"/>
      <c r="H30" s="21"/>
      <c r="J30" s="8"/>
      <c r="K30" s="1"/>
      <c r="L30" s="8">
        <v>19</v>
      </c>
      <c r="M30" s="8" t="e">
        <f>DEC2BIN(N34,5)</f>
        <v>#VALUE!</v>
      </c>
      <c r="N30" s="8">
        <v>10</v>
      </c>
      <c r="O30" s="8"/>
    </row>
    <row r="31" spans="1:55" x14ac:dyDescent="0.35">
      <c r="A31" s="8"/>
      <c r="B31" s="8"/>
      <c r="C31" s="17" t="s">
        <v>603</v>
      </c>
      <c r="D31" s="75" t="str">
        <f t="shared" si="5"/>
        <v>011</v>
      </c>
      <c r="E31" s="8">
        <v>18</v>
      </c>
      <c r="F31" s="74">
        <v>3</v>
      </c>
      <c r="G31" s="75"/>
      <c r="H31" s="21"/>
      <c r="J31" s="8"/>
      <c r="K31" s="1"/>
      <c r="L31" s="8">
        <v>20</v>
      </c>
      <c r="M31" s="8" t="str">
        <f>DEC2BIN(N29,5)</f>
        <v>01001</v>
      </c>
      <c r="N31" s="8">
        <v>11</v>
      </c>
      <c r="O31" s="8"/>
    </row>
    <row r="32" spans="1:55" x14ac:dyDescent="0.35">
      <c r="A32" s="8"/>
      <c r="B32" s="8"/>
      <c r="C32" s="17" t="s">
        <v>604</v>
      </c>
      <c r="D32" s="75" t="str">
        <f t="shared" si="5"/>
        <v>100</v>
      </c>
      <c r="E32" s="8">
        <v>22</v>
      </c>
      <c r="F32" s="74">
        <v>4</v>
      </c>
      <c r="G32" s="75"/>
      <c r="H32" s="15"/>
      <c r="J32" s="8"/>
      <c r="K32" s="1"/>
      <c r="L32" s="8">
        <v>21</v>
      </c>
      <c r="M32" s="8" t="str">
        <f>DEC2BIN(N35,5)</f>
        <v>01111</v>
      </c>
      <c r="N32" s="8">
        <v>12</v>
      </c>
      <c r="O32" s="8"/>
    </row>
    <row r="33" spans="1:15" x14ac:dyDescent="0.35">
      <c r="A33" s="8"/>
      <c r="B33" s="8"/>
      <c r="C33" s="17" t="s">
        <v>605</v>
      </c>
      <c r="D33" s="75" t="str">
        <f t="shared" si="5"/>
        <v>101</v>
      </c>
      <c r="E33" s="8">
        <v>26</v>
      </c>
      <c r="F33" s="74">
        <v>5</v>
      </c>
      <c r="G33" s="75"/>
      <c r="H33" s="21"/>
      <c r="J33" s="8"/>
      <c r="K33" s="1"/>
      <c r="L33" s="8">
        <v>22</v>
      </c>
      <c r="M33" s="8" t="str">
        <f>DEC2BIN(N30,5)</f>
        <v>01010</v>
      </c>
      <c r="N33" s="8">
        <v>13</v>
      </c>
      <c r="O33" s="8"/>
    </row>
    <row r="34" spans="1:15" x14ac:dyDescent="0.35">
      <c r="A34" s="8"/>
      <c r="B34" s="8"/>
      <c r="C34" s="17" t="s">
        <v>606</v>
      </c>
      <c r="D34" s="75" t="str">
        <f t="shared" si="5"/>
        <v>110</v>
      </c>
      <c r="E34" s="8">
        <v>30</v>
      </c>
      <c r="F34" s="74">
        <v>6</v>
      </c>
      <c r="G34" s="75"/>
      <c r="H34" s="21"/>
      <c r="J34" s="8"/>
      <c r="K34" s="1"/>
      <c r="L34" s="8">
        <v>23</v>
      </c>
      <c r="M34" s="8" t="str">
        <f>DEC2BIN(N32,5)</f>
        <v>01100</v>
      </c>
      <c r="N34" s="8" t="s">
        <v>904</v>
      </c>
      <c r="O34" s="8"/>
    </row>
    <row r="35" spans="1:15" x14ac:dyDescent="0.35">
      <c r="A35" s="8"/>
      <c r="B35" s="8"/>
      <c r="C35" s="17" t="s">
        <v>607</v>
      </c>
      <c r="D35" s="75" t="str">
        <f t="shared" si="5"/>
        <v>111</v>
      </c>
      <c r="E35" s="8">
        <v>34</v>
      </c>
      <c r="F35" s="74">
        <v>7</v>
      </c>
      <c r="G35" s="75"/>
      <c r="H35" s="21"/>
      <c r="J35" s="8"/>
      <c r="K35" s="8"/>
      <c r="L35" s="8">
        <v>24</v>
      </c>
      <c r="M35" s="8" t="str">
        <f>DEC2BIN(N31,5)</f>
        <v>01011</v>
      </c>
      <c r="N35" s="8">
        <v>15</v>
      </c>
      <c r="O35" s="8"/>
    </row>
    <row r="36" spans="1:15" x14ac:dyDescent="0.35">
      <c r="A36" s="8"/>
      <c r="B36" s="8" t="s">
        <v>105</v>
      </c>
      <c r="C36" s="17" t="s">
        <v>611</v>
      </c>
      <c r="D36" s="75" t="str">
        <f t="shared" si="5"/>
        <v>000</v>
      </c>
      <c r="E36" s="8" t="s">
        <v>611</v>
      </c>
      <c r="F36" s="74">
        <v>0</v>
      </c>
      <c r="G36" s="77" t="e">
        <f>IF(LDDR4_INIT!D14="Disabled (default)",LOOKUP(LDDR4_INIT!D12,LU!C36:C43,LU!D36:D43),LOOKUP(LDDR4_INIT!D12,LU!E36:E43,LU!D36:D43))</f>
        <v>#N/A</v>
      </c>
      <c r="H36" s="21"/>
      <c r="J36" s="8"/>
      <c r="K36" s="8"/>
      <c r="L36" s="8">
        <v>25</v>
      </c>
      <c r="M36" s="8" t="str">
        <f t="shared" si="3"/>
        <v>10000</v>
      </c>
      <c r="N36" s="8">
        <v>16</v>
      </c>
      <c r="O36" s="8"/>
    </row>
    <row r="37" spans="1:15" x14ac:dyDescent="0.35">
      <c r="A37" s="8"/>
      <c r="B37" s="8"/>
      <c r="C37" s="17" t="s">
        <v>612</v>
      </c>
      <c r="D37" s="75" t="str">
        <f t="shared" si="5"/>
        <v>001</v>
      </c>
      <c r="E37" s="8" t="s">
        <v>615</v>
      </c>
      <c r="F37" s="74">
        <v>1</v>
      </c>
      <c r="G37" s="8"/>
      <c r="H37" s="21"/>
      <c r="J37" s="8"/>
      <c r="K37" s="8"/>
      <c r="L37" s="8">
        <v>26</v>
      </c>
      <c r="M37" s="8" t="str">
        <f t="shared" si="3"/>
        <v>10001</v>
      </c>
      <c r="N37" s="8">
        <v>17</v>
      </c>
      <c r="O37" s="8"/>
    </row>
    <row r="38" spans="1:15" x14ac:dyDescent="0.35">
      <c r="A38" s="8"/>
      <c r="B38" s="8"/>
      <c r="C38" s="17" t="s">
        <v>613</v>
      </c>
      <c r="D38" s="75" t="str">
        <f t="shared" si="5"/>
        <v>010</v>
      </c>
      <c r="E38" s="8" t="s">
        <v>616</v>
      </c>
      <c r="F38" s="74">
        <v>2</v>
      </c>
      <c r="G38" s="8"/>
      <c r="H38" s="21"/>
      <c r="J38" s="8"/>
      <c r="K38" s="8"/>
      <c r="L38" s="8">
        <v>27</v>
      </c>
      <c r="M38" s="8" t="str">
        <f t="shared" si="3"/>
        <v>10010</v>
      </c>
      <c r="N38" s="8">
        <v>18</v>
      </c>
      <c r="O38" s="8"/>
    </row>
    <row r="39" spans="1:15" x14ac:dyDescent="0.35">
      <c r="A39" s="8"/>
      <c r="B39" s="8"/>
      <c r="C39" s="17" t="s">
        <v>614</v>
      </c>
      <c r="D39" s="75" t="str">
        <f t="shared" si="5"/>
        <v>011</v>
      </c>
      <c r="E39" s="8" t="s">
        <v>617</v>
      </c>
      <c r="F39" s="74">
        <v>3</v>
      </c>
      <c r="G39" s="8"/>
      <c r="H39" s="21"/>
      <c r="J39" s="8"/>
      <c r="K39" s="8"/>
      <c r="L39" s="8">
        <v>28</v>
      </c>
      <c r="M39" s="8" t="str">
        <f t="shared" si="3"/>
        <v>10011</v>
      </c>
      <c r="N39" s="8">
        <v>19</v>
      </c>
      <c r="O39" s="8"/>
    </row>
    <row r="40" spans="1:15" x14ac:dyDescent="0.35">
      <c r="A40" s="8"/>
      <c r="B40" s="8"/>
      <c r="C40" s="17" t="s">
        <v>513</v>
      </c>
      <c r="D40" s="75" t="str">
        <f t="shared" si="5"/>
        <v>100</v>
      </c>
      <c r="E40" s="8" t="s">
        <v>517</v>
      </c>
      <c r="F40" s="74">
        <v>4</v>
      </c>
      <c r="G40" s="8"/>
      <c r="H40" s="15"/>
      <c r="J40" s="8"/>
      <c r="K40" s="8"/>
      <c r="L40" s="8" t="s">
        <v>660</v>
      </c>
      <c r="M40" s="8" t="str">
        <f t="shared" si="3"/>
        <v>10100</v>
      </c>
      <c r="N40" s="8">
        <v>20</v>
      </c>
      <c r="O40" s="8"/>
    </row>
    <row r="41" spans="1:15" x14ac:dyDescent="0.35">
      <c r="A41" s="8"/>
      <c r="B41" s="8"/>
      <c r="C41" s="17" t="s">
        <v>514</v>
      </c>
      <c r="D41" s="75" t="str">
        <f t="shared" si="5"/>
        <v>101</v>
      </c>
      <c r="E41" s="8" t="s">
        <v>518</v>
      </c>
      <c r="F41" s="74">
        <v>5</v>
      </c>
      <c r="G41" s="8"/>
      <c r="H41" s="21"/>
      <c r="J41" s="8"/>
      <c r="K41" s="8"/>
      <c r="L41" s="8">
        <v>30</v>
      </c>
      <c r="M41" s="8" t="str">
        <f t="shared" si="3"/>
        <v>10101</v>
      </c>
      <c r="N41" s="8">
        <v>21</v>
      </c>
      <c r="O41" s="8"/>
    </row>
    <row r="42" spans="1:15" x14ac:dyDescent="0.35">
      <c r="A42" s="8"/>
      <c r="B42" s="8"/>
      <c r="C42" s="17" t="s">
        <v>515</v>
      </c>
      <c r="D42" s="75" t="str">
        <f t="shared" si="5"/>
        <v>110</v>
      </c>
      <c r="E42" s="8" t="s">
        <v>519</v>
      </c>
      <c r="F42" s="74">
        <v>6</v>
      </c>
      <c r="G42" s="8"/>
      <c r="H42" s="15"/>
      <c r="J42" s="8"/>
      <c r="K42" s="8"/>
      <c r="L42" s="8" t="s">
        <v>661</v>
      </c>
      <c r="M42" s="8" t="str">
        <f t="shared" si="3"/>
        <v>10110</v>
      </c>
      <c r="N42" s="8">
        <v>22</v>
      </c>
      <c r="O42" s="8"/>
    </row>
    <row r="43" spans="1:15" x14ac:dyDescent="0.35">
      <c r="A43" s="8"/>
      <c r="B43" s="8"/>
      <c r="C43" s="17" t="s">
        <v>516</v>
      </c>
      <c r="D43" s="75" t="str">
        <f t="shared" si="5"/>
        <v>111</v>
      </c>
      <c r="E43" s="8" t="s">
        <v>520</v>
      </c>
      <c r="F43" s="74">
        <v>7</v>
      </c>
      <c r="G43" s="8"/>
      <c r="H43" s="21"/>
      <c r="J43" s="8"/>
      <c r="K43" s="8"/>
      <c r="L43" s="8">
        <v>32</v>
      </c>
      <c r="M43" s="8" t="str">
        <f t="shared" si="3"/>
        <v>10111</v>
      </c>
      <c r="N43" s="8">
        <v>23</v>
      </c>
      <c r="O43" s="8"/>
    </row>
    <row r="44" spans="1:15" x14ac:dyDescent="0.35">
      <c r="A44" s="80" t="s">
        <v>523</v>
      </c>
      <c r="B44" s="8" t="s">
        <v>528</v>
      </c>
      <c r="C44" s="17" t="s">
        <v>511</v>
      </c>
      <c r="D44" s="75" t="str">
        <f>DEC2BIN(F44,1)</f>
        <v>0</v>
      </c>
      <c r="E44" s="8"/>
      <c r="F44" s="74">
        <v>0</v>
      </c>
      <c r="G44" s="8" t="e">
        <f>LOOKUP(LDDR4_INIT!D13,LU!C44:C45,LU!D44:D45)</f>
        <v>#N/A</v>
      </c>
      <c r="H44" s="15"/>
      <c r="J44" s="8"/>
      <c r="K44" s="8"/>
      <c r="L44" s="8" t="s">
        <v>499</v>
      </c>
      <c r="M44" s="8" t="str">
        <f t="shared" si="3"/>
        <v>11000</v>
      </c>
      <c r="N44" s="8">
        <v>24</v>
      </c>
      <c r="O44" s="8"/>
    </row>
    <row r="45" spans="1:15" x14ac:dyDescent="0.35">
      <c r="A45" s="8"/>
      <c r="B45" s="8"/>
      <c r="C45" s="17" t="s">
        <v>512</v>
      </c>
      <c r="D45" s="75" t="str">
        <f>DEC2BIN(F45,1)</f>
        <v>1</v>
      </c>
      <c r="E45" s="8"/>
      <c r="F45" s="74">
        <v>1</v>
      </c>
      <c r="G45" s="8"/>
      <c r="H45" s="21"/>
      <c r="J45" s="8"/>
      <c r="K45" s="8" t="s">
        <v>662</v>
      </c>
      <c r="L45" s="8" t="s">
        <v>663</v>
      </c>
      <c r="M45" s="8" t="str">
        <f>DEC2BIN(N45,1)</f>
        <v>0</v>
      </c>
      <c r="N45" s="8">
        <v>0</v>
      </c>
      <c r="O45" s="8"/>
    </row>
    <row r="46" spans="1:15" x14ac:dyDescent="0.35">
      <c r="A46" s="8"/>
      <c r="B46" s="8" t="s">
        <v>529</v>
      </c>
      <c r="C46" s="17" t="s">
        <v>511</v>
      </c>
      <c r="D46" s="75" t="str">
        <f>DEC2BIN(F46,1)</f>
        <v>0</v>
      </c>
      <c r="E46" s="8"/>
      <c r="F46" s="74">
        <v>0</v>
      </c>
      <c r="G46" s="8" t="e">
        <f>LOOKUP(LDDR4_INIT!D14,LU!C46:C47,LU!D46:D47)</f>
        <v>#N/A</v>
      </c>
      <c r="H46" s="21"/>
      <c r="J46" s="8"/>
      <c r="K46" s="8"/>
      <c r="L46" s="8" t="s">
        <v>668</v>
      </c>
      <c r="M46" s="8" t="str">
        <f>DEC2BIN(N46,1)</f>
        <v>1</v>
      </c>
      <c r="N46" s="8">
        <v>1</v>
      </c>
      <c r="O46" s="8"/>
    </row>
    <row r="47" spans="1:15" x14ac:dyDescent="0.35">
      <c r="A47" s="8"/>
      <c r="B47" s="8"/>
      <c r="C47" s="17" t="s">
        <v>512</v>
      </c>
      <c r="D47" s="75" t="str">
        <f>DEC2BIN(F47,1)</f>
        <v>1</v>
      </c>
      <c r="E47" s="8"/>
      <c r="F47" s="74">
        <v>1</v>
      </c>
      <c r="G47" s="8"/>
      <c r="H47" s="21"/>
      <c r="J47" s="8"/>
      <c r="K47" s="8" t="s">
        <v>664</v>
      </c>
      <c r="L47" s="8" t="s">
        <v>665</v>
      </c>
      <c r="M47" s="88" t="str">
        <f>DEC2BIN(N47,2)</f>
        <v>00</v>
      </c>
      <c r="N47" s="82">
        <v>0</v>
      </c>
      <c r="O47" s="8"/>
    </row>
    <row r="48" spans="1:15" x14ac:dyDescent="0.35">
      <c r="A48" s="8"/>
      <c r="B48" s="8" t="s">
        <v>527</v>
      </c>
      <c r="C48" s="17" t="s">
        <v>530</v>
      </c>
      <c r="D48" s="75" t="str">
        <f t="shared" ref="D48:D55" si="6">DEC2BIN(F48,3)</f>
        <v>000</v>
      </c>
      <c r="E48" s="8"/>
      <c r="F48" s="74">
        <v>0</v>
      </c>
      <c r="G48" s="77" t="e">
        <f>IF(LDDR4_INIT!D15="RSVD",111,LOOKUP(LDDR4_INIT!D15,LU!C48:C55,LU!D48:D55))</f>
        <v>#N/A</v>
      </c>
      <c r="H48" s="21"/>
      <c r="J48" s="8"/>
      <c r="K48" s="8"/>
      <c r="L48" s="8" t="s">
        <v>667</v>
      </c>
      <c r="M48" s="88" t="str">
        <f>DEC2BIN(N48,2)</f>
        <v>10</v>
      </c>
      <c r="N48" s="82">
        <v>2</v>
      </c>
      <c r="O48" s="8"/>
    </row>
    <row r="49" spans="1:17" x14ac:dyDescent="0.35">
      <c r="A49" s="8"/>
      <c r="B49" s="8"/>
      <c r="C49" s="17" t="s">
        <v>531</v>
      </c>
      <c r="D49" s="75" t="str">
        <f t="shared" si="6"/>
        <v>001</v>
      </c>
      <c r="E49" s="8"/>
      <c r="F49" s="74">
        <v>1</v>
      </c>
      <c r="G49" s="8"/>
      <c r="H49" s="21"/>
      <c r="J49" s="8"/>
      <c r="K49" s="8"/>
      <c r="L49" s="8" t="s">
        <v>666</v>
      </c>
      <c r="M49" s="88" t="str">
        <f>DEC2BIN(N49,2)</f>
        <v>01</v>
      </c>
      <c r="N49" s="82">
        <v>1</v>
      </c>
      <c r="O49" s="8"/>
    </row>
    <row r="50" spans="1:17" x14ac:dyDescent="0.35">
      <c r="A50" s="8"/>
      <c r="B50" s="8"/>
      <c r="C50" s="17" t="s">
        <v>532</v>
      </c>
      <c r="D50" s="75" t="str">
        <f t="shared" si="6"/>
        <v>010</v>
      </c>
      <c r="E50" s="8"/>
      <c r="F50" s="74">
        <v>2</v>
      </c>
      <c r="G50" s="8"/>
      <c r="H50" s="21"/>
      <c r="J50" s="8"/>
      <c r="K50" s="8"/>
      <c r="L50" s="8" t="s">
        <v>499</v>
      </c>
      <c r="M50" s="88" t="str">
        <f>DEC2BIN(N50,2)</f>
        <v>11</v>
      </c>
      <c r="N50" s="82">
        <v>3</v>
      </c>
      <c r="O50" s="8"/>
    </row>
    <row r="51" spans="1:17" x14ac:dyDescent="0.35">
      <c r="A51" s="8"/>
      <c r="B51" s="8"/>
      <c r="C51" s="17" t="s">
        <v>533</v>
      </c>
      <c r="D51" s="75" t="str">
        <f t="shared" si="6"/>
        <v>011</v>
      </c>
      <c r="E51" s="8"/>
      <c r="F51" s="74">
        <v>3</v>
      </c>
      <c r="G51" s="8"/>
      <c r="H51" s="21"/>
      <c r="J51" s="80" t="s">
        <v>493</v>
      </c>
      <c r="K51" s="8" t="s">
        <v>689</v>
      </c>
      <c r="L51" s="8" t="s">
        <v>693</v>
      </c>
      <c r="M51" s="8" t="str">
        <f>DEC2BIN(N51,1)</f>
        <v>1</v>
      </c>
      <c r="N51" s="8">
        <v>1</v>
      </c>
      <c r="O51" s="91" t="str">
        <f>LOOKUP(DDR4_INIT!D9,LU!L51:L52,LU!M51:M52)</f>
        <v>0</v>
      </c>
      <c r="P51" s="144" t="str">
        <f>O51&amp;O52&amp;O53&amp;O54&amp;O55&amp;O56</f>
        <v>0000100001</v>
      </c>
    </row>
    <row r="52" spans="1:17" ht="27.65" customHeight="1" x14ac:dyDescent="0.35">
      <c r="A52" s="8"/>
      <c r="B52" s="8"/>
      <c r="C52" s="17" t="s">
        <v>534</v>
      </c>
      <c r="D52" s="75" t="str">
        <f t="shared" si="6"/>
        <v>100</v>
      </c>
      <c r="E52" s="8"/>
      <c r="F52" s="74">
        <v>4</v>
      </c>
      <c r="G52" s="8"/>
      <c r="H52" s="15"/>
      <c r="J52" s="8"/>
      <c r="L52" s="8" t="s">
        <v>692</v>
      </c>
      <c r="M52" s="8" t="str">
        <f>DEC2BIN(N52,1)</f>
        <v>0</v>
      </c>
      <c r="N52" s="8">
        <v>0</v>
      </c>
      <c r="O52" s="91" t="str">
        <f>LOOKUP(DDR4_INIT!D10,LU!L53:L54,LU!M53:M54)</f>
        <v>0</v>
      </c>
      <c r="P52" s="8" t="str">
        <f>BIN2HEX(MID(P51,1,5),2)</f>
        <v>01</v>
      </c>
      <c r="Q52" s="5" t="str">
        <f>P52&amp;P53</f>
        <v>0101</v>
      </c>
    </row>
    <row r="53" spans="1:17" x14ac:dyDescent="0.35">
      <c r="A53" s="8"/>
      <c r="B53" s="8"/>
      <c r="C53" s="17" t="s">
        <v>535</v>
      </c>
      <c r="D53" s="75" t="str">
        <f t="shared" si="6"/>
        <v>101</v>
      </c>
      <c r="E53" s="8"/>
      <c r="F53" s="74">
        <v>5</v>
      </c>
      <c r="G53" s="8"/>
      <c r="H53" s="21"/>
      <c r="J53" s="8"/>
      <c r="K53" s="8" t="s">
        <v>690</v>
      </c>
      <c r="L53" s="8" t="s">
        <v>672</v>
      </c>
      <c r="M53" s="8" t="str">
        <f>DEC2BIN(N53,1)</f>
        <v>0</v>
      </c>
      <c r="N53" s="8">
        <v>0</v>
      </c>
      <c r="O53" s="91" t="str">
        <f>LOOKUP(DDR4_INIT!D11,LU!L55:L62,LU!M55:M62)</f>
        <v>001</v>
      </c>
      <c r="P53" s="8" t="str">
        <f>BIN2HEX(MID(P51,6,8),2)</f>
        <v>01</v>
      </c>
    </row>
    <row r="54" spans="1:17" x14ac:dyDescent="0.35">
      <c r="A54" s="8"/>
      <c r="B54" s="8"/>
      <c r="C54" s="17" t="s">
        <v>536</v>
      </c>
      <c r="D54" s="75" t="str">
        <f t="shared" si="6"/>
        <v>110</v>
      </c>
      <c r="E54" s="8"/>
      <c r="F54" s="74">
        <v>6</v>
      </c>
      <c r="G54" s="8"/>
      <c r="H54" s="15"/>
      <c r="J54" s="8"/>
      <c r="K54" s="8"/>
      <c r="L54" s="8" t="s">
        <v>673</v>
      </c>
      <c r="M54" s="8" t="str">
        <f>DEC2BIN(N54,1)</f>
        <v>1</v>
      </c>
      <c r="N54" s="8">
        <v>1</v>
      </c>
      <c r="O54" s="91" t="str">
        <f>LOOKUP(DDR4_INIT!D12,LU!L63:L66,LU!M63:M66)</f>
        <v>00</v>
      </c>
    </row>
    <row r="55" spans="1:17" x14ac:dyDescent="0.35">
      <c r="A55" s="8"/>
      <c r="B55" s="8"/>
      <c r="C55" s="17" t="s">
        <v>129</v>
      </c>
      <c r="D55" s="75" t="str">
        <f t="shared" si="6"/>
        <v>111</v>
      </c>
      <c r="E55" s="8"/>
      <c r="F55" s="74">
        <v>7</v>
      </c>
      <c r="G55" s="8"/>
      <c r="H55" s="21"/>
      <c r="J55" s="8"/>
      <c r="K55" s="8" t="s">
        <v>691</v>
      </c>
      <c r="L55" s="8" t="s">
        <v>694</v>
      </c>
      <c r="M55" s="8" t="str">
        <f>DEC2BIN(N55,3)</f>
        <v>000</v>
      </c>
      <c r="N55" s="8">
        <v>0</v>
      </c>
      <c r="O55" s="93" t="str">
        <f>IF(DDR4_INIT!D13="Reserved",11,LOOKUP(DDR4_INIT!D13,LU!L67:L68,LU!M67:M68))</f>
        <v>00</v>
      </c>
    </row>
    <row r="56" spans="1:17" ht="29" x14ac:dyDescent="0.35">
      <c r="A56" s="8"/>
      <c r="B56" s="17" t="s">
        <v>526</v>
      </c>
      <c r="C56" s="17" t="s">
        <v>537</v>
      </c>
      <c r="D56" s="75" t="str">
        <f t="shared" ref="D56:D77" si="7">DEC2BIN(F56,1)</f>
        <v>0</v>
      </c>
      <c r="E56" s="8"/>
      <c r="F56" s="74">
        <v>0</v>
      </c>
      <c r="G56" s="8" t="e">
        <f>LOOKUP(LDDR4_INIT!D16,LU!C56:C57,LU!D56:D57)</f>
        <v>#N/A</v>
      </c>
      <c r="H56" s="15"/>
      <c r="J56" s="8"/>
      <c r="K56" s="8"/>
      <c r="L56" s="8" t="s">
        <v>531</v>
      </c>
      <c r="M56" s="8" t="str">
        <f>DEC2BIN(N56,3)</f>
        <v>100</v>
      </c>
      <c r="N56" s="8">
        <v>4</v>
      </c>
      <c r="O56" s="94" t="str">
        <f>LOOKUP(DDR4_INIT!D14,LU!L70:L71,LU!M70:M71)</f>
        <v>1</v>
      </c>
    </row>
    <row r="57" spans="1:17" x14ac:dyDescent="0.35">
      <c r="A57" s="8"/>
      <c r="B57" s="8"/>
      <c r="C57" s="17" t="s">
        <v>538</v>
      </c>
      <c r="D57" s="75" t="str">
        <f t="shared" si="7"/>
        <v>1</v>
      </c>
      <c r="E57" s="8"/>
      <c r="F57" s="74">
        <v>1</v>
      </c>
      <c r="G57" s="8"/>
      <c r="H57" s="21"/>
      <c r="J57" s="8"/>
      <c r="K57" s="8"/>
      <c r="L57" s="8" t="s">
        <v>532</v>
      </c>
      <c r="M57" s="8" t="str">
        <f t="shared" ref="M57:M62" si="8">DEC2BIN(N57,3)</f>
        <v>010</v>
      </c>
      <c r="N57" s="8">
        <v>2</v>
      </c>
      <c r="O57" s="8"/>
    </row>
    <row r="58" spans="1:17" ht="29" x14ac:dyDescent="0.35">
      <c r="A58" s="8"/>
      <c r="B58" s="8" t="s">
        <v>525</v>
      </c>
      <c r="C58" s="17" t="s">
        <v>539</v>
      </c>
      <c r="D58" s="75" t="str">
        <f t="shared" si="7"/>
        <v>0</v>
      </c>
      <c r="E58" s="8"/>
      <c r="F58" s="74">
        <v>0</v>
      </c>
      <c r="G58" s="8" t="e">
        <f>LOOKUP(LDDR4_INIT!D17,LU!C58:C59,LU!D58:D59)</f>
        <v>#N/A</v>
      </c>
      <c r="H58" s="15"/>
      <c r="J58" s="8"/>
      <c r="K58" s="8"/>
      <c r="L58" s="8" t="s">
        <v>533</v>
      </c>
      <c r="M58" s="8" t="str">
        <f>DEC2BIN(N58,3)</f>
        <v>110</v>
      </c>
      <c r="N58" s="8">
        <v>6</v>
      </c>
      <c r="O58" s="8"/>
    </row>
    <row r="59" spans="1:17" x14ac:dyDescent="0.35">
      <c r="A59" s="8"/>
      <c r="B59" s="8"/>
      <c r="C59" s="17" t="s">
        <v>540</v>
      </c>
      <c r="D59" s="75" t="str">
        <f t="shared" si="7"/>
        <v>1</v>
      </c>
      <c r="E59" s="8"/>
      <c r="F59" s="74">
        <v>1</v>
      </c>
      <c r="G59" s="8"/>
      <c r="H59" s="21"/>
      <c r="J59" s="8"/>
      <c r="K59" s="8"/>
      <c r="L59" s="8" t="s">
        <v>534</v>
      </c>
      <c r="M59" s="8" t="str">
        <f>DEC2BIN(N59,3)</f>
        <v>001</v>
      </c>
      <c r="N59" s="8">
        <v>1</v>
      </c>
      <c r="O59" s="8"/>
    </row>
    <row r="60" spans="1:17" x14ac:dyDescent="0.35">
      <c r="A60" s="8"/>
      <c r="B60" s="8" t="s">
        <v>524</v>
      </c>
      <c r="C60" s="17" t="s">
        <v>541</v>
      </c>
      <c r="D60" s="75" t="str">
        <f t="shared" si="7"/>
        <v>0</v>
      </c>
      <c r="E60" s="8"/>
      <c r="F60" s="74">
        <v>0</v>
      </c>
      <c r="G60" s="8" t="e">
        <f>LOOKUP(LDDR4_INIT!D18,LU!C60:C61,LU!D60:D61)</f>
        <v>#N/A</v>
      </c>
      <c r="H60" s="15"/>
      <c r="J60" s="8"/>
      <c r="K60" s="8"/>
      <c r="L60" s="8" t="s">
        <v>535</v>
      </c>
      <c r="M60" s="8" t="str">
        <f t="shared" si="8"/>
        <v>101</v>
      </c>
      <c r="N60" s="8">
        <v>5</v>
      </c>
      <c r="O60" s="8"/>
    </row>
    <row r="61" spans="1:17" x14ac:dyDescent="0.35">
      <c r="A61" s="8"/>
      <c r="B61" s="8"/>
      <c r="C61" s="17" t="s">
        <v>542</v>
      </c>
      <c r="D61" s="75" t="str">
        <f t="shared" si="7"/>
        <v>1</v>
      </c>
      <c r="E61" s="8"/>
      <c r="F61" s="74">
        <v>1</v>
      </c>
      <c r="G61" s="8"/>
      <c r="H61" s="21"/>
      <c r="J61" s="8"/>
      <c r="K61" s="8"/>
      <c r="L61" s="8" t="s">
        <v>536</v>
      </c>
      <c r="M61" s="8" t="str">
        <f>DEC2BIN(N61,3)</f>
        <v>011</v>
      </c>
      <c r="N61" s="8">
        <v>3</v>
      </c>
      <c r="O61" s="8"/>
    </row>
    <row r="62" spans="1:17" x14ac:dyDescent="0.35">
      <c r="A62" s="80" t="s">
        <v>546</v>
      </c>
      <c r="B62" s="8" t="s">
        <v>547</v>
      </c>
      <c r="C62" s="17" t="s">
        <v>555</v>
      </c>
      <c r="D62" s="75" t="str">
        <f t="shared" si="7"/>
        <v>0</v>
      </c>
      <c r="E62" s="8"/>
      <c r="F62" s="74">
        <v>0</v>
      </c>
      <c r="G62" s="78">
        <f>IF(LDDR4_INIT!D19="Normal Operation (default)",0,1)</f>
        <v>1</v>
      </c>
      <c r="H62" s="15"/>
      <c r="J62" s="8"/>
      <c r="K62" s="8"/>
      <c r="L62" s="8" t="s">
        <v>677</v>
      </c>
      <c r="M62" s="8" t="str">
        <f t="shared" si="8"/>
        <v>111</v>
      </c>
      <c r="N62" s="8">
        <v>7</v>
      </c>
      <c r="O62" s="8"/>
    </row>
    <row r="63" spans="1:17" ht="29" x14ac:dyDescent="0.35">
      <c r="A63" s="8"/>
      <c r="B63" s="8"/>
      <c r="C63" s="17" t="s">
        <v>556</v>
      </c>
      <c r="D63" s="75" t="str">
        <f t="shared" si="7"/>
        <v>1</v>
      </c>
      <c r="E63" s="8"/>
      <c r="F63" s="74">
        <v>1</v>
      </c>
      <c r="G63" s="8"/>
      <c r="H63" s="21"/>
      <c r="J63" s="8"/>
      <c r="K63" s="8" t="s">
        <v>669</v>
      </c>
      <c r="L63" s="8" t="s">
        <v>674</v>
      </c>
      <c r="M63" s="8" t="str">
        <f t="shared" ref="M63:M69" si="9">DEC2BIN(N63,2)</f>
        <v>00</v>
      </c>
      <c r="N63" s="8">
        <v>0</v>
      </c>
      <c r="O63" s="8"/>
    </row>
    <row r="64" spans="1:17" x14ac:dyDescent="0.35">
      <c r="A64" s="8"/>
      <c r="B64" s="8" t="s">
        <v>548</v>
      </c>
      <c r="C64" s="17" t="s">
        <v>511</v>
      </c>
      <c r="D64" s="75" t="str">
        <f t="shared" si="7"/>
        <v>0</v>
      </c>
      <c r="E64" s="8"/>
      <c r="F64" s="74">
        <v>0</v>
      </c>
      <c r="G64" s="8" t="e">
        <f>LOOKUP(LDDR4_INIT!D20,LU!C64:C65,LU!D64:D65)</f>
        <v>#N/A</v>
      </c>
      <c r="H64" s="15"/>
      <c r="J64" s="8"/>
      <c r="K64" s="8"/>
      <c r="L64" s="8" t="s">
        <v>675</v>
      </c>
      <c r="M64" s="8" t="str">
        <f t="shared" si="9"/>
        <v>01</v>
      </c>
      <c r="N64" s="8">
        <v>1</v>
      </c>
      <c r="O64" s="8"/>
      <c r="P64" s="15"/>
    </row>
    <row r="65" spans="1:16" x14ac:dyDescent="0.35">
      <c r="A65" s="8"/>
      <c r="B65" s="8"/>
      <c r="C65" s="17" t="s">
        <v>512</v>
      </c>
      <c r="D65" s="75" t="str">
        <f t="shared" si="7"/>
        <v>1</v>
      </c>
      <c r="E65" s="8"/>
      <c r="F65" s="74">
        <v>1</v>
      </c>
      <c r="G65" s="8"/>
      <c r="H65" s="21"/>
      <c r="J65" s="8"/>
      <c r="K65" s="8"/>
      <c r="L65" s="8" t="s">
        <v>676</v>
      </c>
      <c r="M65" s="8" t="str">
        <f t="shared" si="9"/>
        <v>10</v>
      </c>
      <c r="N65" s="8">
        <v>2</v>
      </c>
      <c r="O65" s="8"/>
      <c r="P65" s="15"/>
    </row>
    <row r="66" spans="1:16" x14ac:dyDescent="0.35">
      <c r="A66" s="8"/>
      <c r="B66" s="8" t="s">
        <v>549</v>
      </c>
      <c r="C66" s="17" t="s">
        <v>557</v>
      </c>
      <c r="D66" s="75" t="str">
        <f t="shared" si="7"/>
        <v>0</v>
      </c>
      <c r="E66" s="8"/>
      <c r="F66" s="74">
        <v>0</v>
      </c>
      <c r="G66" s="8" t="e">
        <f>LOOKUP(LDDR4_INIT!D21,LU!C66:C67,LU!D66:D67)</f>
        <v>#N/A</v>
      </c>
      <c r="H66" s="15"/>
      <c r="J66" s="8"/>
      <c r="K66" s="8"/>
      <c r="L66" s="8" t="s">
        <v>499</v>
      </c>
      <c r="M66" s="8" t="str">
        <f t="shared" si="9"/>
        <v>11</v>
      </c>
      <c r="N66" s="8">
        <v>3</v>
      </c>
      <c r="O66" s="8"/>
    </row>
    <row r="67" spans="1:16" ht="29" x14ac:dyDescent="0.35">
      <c r="A67" s="8"/>
      <c r="B67" s="8"/>
      <c r="C67" s="17" t="s">
        <v>626</v>
      </c>
      <c r="D67" s="75" t="str">
        <f t="shared" si="7"/>
        <v>1</v>
      </c>
      <c r="E67" s="8"/>
      <c r="F67" s="74">
        <v>1</v>
      </c>
      <c r="G67" s="8"/>
      <c r="H67" s="21"/>
      <c r="J67" s="8"/>
      <c r="K67" s="17" t="s">
        <v>670</v>
      </c>
      <c r="L67" s="8" t="s">
        <v>535</v>
      </c>
      <c r="M67" s="8" t="str">
        <f t="shared" si="9"/>
        <v>01</v>
      </c>
      <c r="N67" s="8">
        <v>1</v>
      </c>
      <c r="O67" s="8"/>
    </row>
    <row r="68" spans="1:16" x14ac:dyDescent="0.35">
      <c r="A68" s="8"/>
      <c r="B68" s="8" t="s">
        <v>550</v>
      </c>
      <c r="C68" s="17" t="s">
        <v>555</v>
      </c>
      <c r="D68" s="75" t="str">
        <f t="shared" si="7"/>
        <v>0</v>
      </c>
      <c r="E68" s="8"/>
      <c r="F68" s="74">
        <v>0</v>
      </c>
      <c r="G68" s="8" t="e">
        <f>LOOKUP(LDDR4_INIT!D22,LU!C68:C69,LU!D68:D69)</f>
        <v>#N/A</v>
      </c>
      <c r="H68" s="15"/>
      <c r="J68" s="8"/>
      <c r="K68" s="8"/>
      <c r="L68" s="8" t="s">
        <v>677</v>
      </c>
      <c r="M68" s="8" t="str">
        <f t="shared" si="9"/>
        <v>00</v>
      </c>
      <c r="N68" s="8">
        <v>0</v>
      </c>
      <c r="O68" s="8"/>
    </row>
    <row r="69" spans="1:16" ht="29" x14ac:dyDescent="0.35">
      <c r="A69" s="8"/>
      <c r="B69" s="8"/>
      <c r="C69" s="17" t="s">
        <v>558</v>
      </c>
      <c r="D69" s="75" t="str">
        <f t="shared" si="7"/>
        <v>1</v>
      </c>
      <c r="E69" s="8"/>
      <c r="F69" s="74">
        <v>1</v>
      </c>
      <c r="G69" s="8"/>
      <c r="H69" s="21"/>
      <c r="J69" s="8"/>
      <c r="K69" s="8"/>
      <c r="L69" s="8" t="s">
        <v>499</v>
      </c>
      <c r="M69" s="8" t="str">
        <f t="shared" si="9"/>
        <v>10</v>
      </c>
      <c r="N69" s="8">
        <v>2</v>
      </c>
      <c r="O69" s="8"/>
    </row>
    <row r="70" spans="1:16" ht="29" x14ac:dyDescent="0.35">
      <c r="A70" s="8"/>
      <c r="B70" s="8" t="s">
        <v>551</v>
      </c>
      <c r="C70" s="17" t="s">
        <v>559</v>
      </c>
      <c r="D70" s="75" t="str">
        <f t="shared" si="7"/>
        <v>0</v>
      </c>
      <c r="E70" s="8"/>
      <c r="F70" s="74">
        <v>0</v>
      </c>
      <c r="G70" s="8" t="e">
        <f>LOOKUP(LDDR4_INIT!D23,LU!C70:C71,LU!D70:D71)</f>
        <v>#N/A</v>
      </c>
      <c r="H70" s="15"/>
      <c r="J70" s="8"/>
      <c r="K70" s="8" t="s">
        <v>671</v>
      </c>
      <c r="L70" s="8" t="s">
        <v>672</v>
      </c>
      <c r="M70" s="8" t="str">
        <f>DEC2BIN(N70,1)</f>
        <v>0</v>
      </c>
      <c r="N70" s="8">
        <v>0</v>
      </c>
      <c r="O70" s="8"/>
    </row>
    <row r="71" spans="1:16" x14ac:dyDescent="0.35">
      <c r="A71" s="8"/>
      <c r="B71" s="8"/>
      <c r="C71" s="17" t="s">
        <v>560</v>
      </c>
      <c r="D71" s="75" t="str">
        <f t="shared" si="7"/>
        <v>1</v>
      </c>
      <c r="E71" s="8"/>
      <c r="F71" s="74">
        <v>1</v>
      </c>
      <c r="G71" s="8"/>
      <c r="H71" s="21"/>
      <c r="J71" s="8"/>
      <c r="K71" s="8"/>
      <c r="L71" s="8" t="s">
        <v>673</v>
      </c>
      <c r="M71" s="8" t="str">
        <f>DEC2BIN(N71,1)</f>
        <v>1</v>
      </c>
      <c r="N71" s="8">
        <v>1</v>
      </c>
      <c r="O71" s="8"/>
    </row>
    <row r="72" spans="1:16" ht="29" x14ac:dyDescent="0.35">
      <c r="A72" s="8"/>
      <c r="B72" s="8" t="s">
        <v>552</v>
      </c>
      <c r="C72" s="17" t="s">
        <v>561</v>
      </c>
      <c r="D72" s="75" t="str">
        <f t="shared" si="7"/>
        <v>0</v>
      </c>
      <c r="E72" s="8"/>
      <c r="F72" s="74">
        <v>0</v>
      </c>
      <c r="G72" s="78">
        <f>IF(LDDR4_INIT!D24="Data Mask Operation Enabled (default)",0,1)</f>
        <v>1</v>
      </c>
      <c r="H72" s="15"/>
      <c r="J72" s="80" t="s">
        <v>508</v>
      </c>
      <c r="K72" s="8" t="s">
        <v>678</v>
      </c>
      <c r="L72" s="8" t="s">
        <v>672</v>
      </c>
      <c r="M72" s="8" t="str">
        <f>DEC2BIN(N72,1)</f>
        <v>0</v>
      </c>
      <c r="N72" s="8">
        <v>0</v>
      </c>
      <c r="O72" s="91" t="str">
        <f>LOOKUP(DDR4_INIT!D15,LU!L72:L73,LU!M72:M73)</f>
        <v>0</v>
      </c>
      <c r="P72" s="144" t="str">
        <f>O72&amp;O73&amp;O74&amp;O75</f>
        <v>010000110</v>
      </c>
    </row>
    <row r="73" spans="1:16" x14ac:dyDescent="0.35">
      <c r="A73" s="8"/>
      <c r="B73" s="8"/>
      <c r="C73" s="17" t="s">
        <v>562</v>
      </c>
      <c r="D73" s="75" t="str">
        <f t="shared" si="7"/>
        <v>1</v>
      </c>
      <c r="E73" s="8"/>
      <c r="F73" s="74">
        <v>1</v>
      </c>
      <c r="G73" s="8"/>
      <c r="H73" s="21"/>
      <c r="J73" s="8"/>
      <c r="K73" s="8"/>
      <c r="L73" s="8" t="s">
        <v>673</v>
      </c>
      <c r="M73" s="8" t="str">
        <f>DEC2BIN(N73,1)</f>
        <v>1</v>
      </c>
      <c r="N73" s="8">
        <v>1</v>
      </c>
      <c r="O73" s="91" t="str">
        <f>LOOKUP(DDR4_INIT!D16,LU!L74:L78,LU!M74:M78)</f>
        <v>100</v>
      </c>
      <c r="P73" s="8" t="str">
        <f>BIN2HEX(MID(P72,1,5),2)</f>
        <v>08</v>
      </c>
    </row>
    <row r="74" spans="1:16" ht="29" x14ac:dyDescent="0.35">
      <c r="A74" s="8"/>
      <c r="B74" s="8" t="s">
        <v>553</v>
      </c>
      <c r="C74" s="17" t="s">
        <v>563</v>
      </c>
      <c r="D74" s="75" t="str">
        <f t="shared" si="7"/>
        <v>0</v>
      </c>
      <c r="E74" s="8"/>
      <c r="F74" s="74">
        <v>0</v>
      </c>
      <c r="G74" s="8" t="e">
        <f>LOOKUP(LDDR4_INIT!D25,LU!C74:C75,LU!D74:D75)</f>
        <v>#N/A</v>
      </c>
      <c r="J74" s="8"/>
      <c r="K74" s="8" t="s">
        <v>679</v>
      </c>
      <c r="L74" s="8" t="s">
        <v>682</v>
      </c>
      <c r="M74" s="8" t="str">
        <f>DEC2BIN(N74,3)</f>
        <v>000</v>
      </c>
      <c r="N74" s="8">
        <v>0</v>
      </c>
      <c r="O74" s="91" t="str">
        <f>LOOKUP(DDR4_INIT!D17,LU!L79:L82,LU!M79:M82)</f>
        <v>00</v>
      </c>
      <c r="P74" s="8" t="str">
        <f>BIN2HEX(MID(P72,6,8),2)</f>
        <v>06</v>
      </c>
    </row>
    <row r="75" spans="1:16" x14ac:dyDescent="0.35">
      <c r="A75" s="8"/>
      <c r="B75" s="8"/>
      <c r="C75" s="17" t="s">
        <v>564</v>
      </c>
      <c r="D75" s="75" t="str">
        <f t="shared" si="7"/>
        <v>1</v>
      </c>
      <c r="E75" s="8"/>
      <c r="F75" s="74">
        <v>1</v>
      </c>
      <c r="G75" s="8"/>
      <c r="J75" s="8"/>
      <c r="K75" s="8"/>
      <c r="L75" s="8" t="s">
        <v>683</v>
      </c>
      <c r="M75" s="8" t="str">
        <f>DEC2BIN(N75,3)</f>
        <v>011</v>
      </c>
      <c r="N75" s="8">
        <v>3</v>
      </c>
      <c r="O75" s="91" t="str">
        <f>LOOKUP(DDR4_INIT!D18,LU!L83:L90,LU!M83:M90)</f>
        <v>110</v>
      </c>
    </row>
    <row r="76" spans="1:16" ht="29" x14ac:dyDescent="0.35">
      <c r="A76" s="8"/>
      <c r="B76" s="8" t="s">
        <v>554</v>
      </c>
      <c r="C76" s="17" t="s">
        <v>563</v>
      </c>
      <c r="D76" s="75" t="str">
        <f t="shared" si="7"/>
        <v>0</v>
      </c>
      <c r="E76" s="8"/>
      <c r="F76" s="74">
        <v>0</v>
      </c>
      <c r="G76" s="8" t="e">
        <f>LOOKUP(LDDR4_INIT!D26,LU!C76:C77,LU!D76:D77)</f>
        <v>#N/A</v>
      </c>
      <c r="H76" s="15"/>
      <c r="J76" s="8"/>
      <c r="K76" s="8"/>
      <c r="L76" s="8" t="s">
        <v>531</v>
      </c>
      <c r="M76" s="8" t="str">
        <f>DEC2BIN(N76,3)</f>
        <v>010</v>
      </c>
      <c r="N76" s="8">
        <v>2</v>
      </c>
      <c r="O76" s="8"/>
    </row>
    <row r="77" spans="1:16" x14ac:dyDescent="0.35">
      <c r="A77" s="8"/>
      <c r="B77" s="8"/>
      <c r="C77" s="17" t="s">
        <v>564</v>
      </c>
      <c r="D77" s="75" t="str">
        <f t="shared" si="7"/>
        <v>1</v>
      </c>
      <c r="E77" s="8"/>
      <c r="F77" s="74">
        <v>1</v>
      </c>
      <c r="G77" s="8"/>
      <c r="H77" s="21"/>
      <c r="J77" s="8"/>
      <c r="K77" s="8"/>
      <c r="L77" s="8" t="s">
        <v>532</v>
      </c>
      <c r="M77" s="8" t="str">
        <f>DEC2BIN(N77,3)</f>
        <v>001</v>
      </c>
      <c r="N77" s="8">
        <v>1</v>
      </c>
      <c r="O77" s="8"/>
    </row>
    <row r="78" spans="1:16" x14ac:dyDescent="0.35">
      <c r="A78" s="80" t="s">
        <v>572</v>
      </c>
      <c r="B78" s="8" t="s">
        <v>575</v>
      </c>
      <c r="C78" s="17" t="s">
        <v>574</v>
      </c>
      <c r="D78" s="75" t="str">
        <f>DEC2BIN(F78,2)</f>
        <v>00</v>
      </c>
      <c r="E78" s="8"/>
      <c r="F78" s="74">
        <v>0</v>
      </c>
      <c r="G78" s="75" t="e">
        <f>LOOKUP(LDDR4_INIT!D27,LU!C78:C81,LU!D78:D81)</f>
        <v>#N/A</v>
      </c>
      <c r="H78" s="143" t="e">
        <f>G78&amp;G82&amp;G90</f>
        <v>#N/A</v>
      </c>
      <c r="J78" s="8"/>
      <c r="K78" s="8"/>
      <c r="L78" s="8" t="s">
        <v>533</v>
      </c>
      <c r="M78" s="8" t="str">
        <f>DEC2BIN(N78,3)</f>
        <v>100</v>
      </c>
      <c r="N78" s="8">
        <v>4</v>
      </c>
      <c r="O78" s="8"/>
    </row>
    <row r="79" spans="1:16" ht="29" x14ac:dyDescent="0.35">
      <c r="A79" s="8"/>
      <c r="B79" s="8"/>
      <c r="C79" s="17" t="s">
        <v>533</v>
      </c>
      <c r="D79" s="75" t="str">
        <f>DEC2BIN(F79,2)</f>
        <v>01</v>
      </c>
      <c r="E79" s="8"/>
      <c r="F79" s="74">
        <v>1</v>
      </c>
      <c r="G79" s="8"/>
      <c r="H79" s="143" t="e">
        <f>MID(H78,1,1)&amp;MID(H78,3,3)&amp;MID(H78,2,1)&amp;MID(H78,6,3)</f>
        <v>#N/A</v>
      </c>
      <c r="J79" s="8"/>
      <c r="K79" s="17" t="s">
        <v>680</v>
      </c>
      <c r="L79" s="8" t="s">
        <v>687</v>
      </c>
      <c r="M79" s="8" t="str">
        <f>DEC2BIN(N79,2)</f>
        <v>11</v>
      </c>
      <c r="N79" s="8">
        <v>3</v>
      </c>
      <c r="O79" s="8"/>
    </row>
    <row r="80" spans="1:16" ht="29" x14ac:dyDescent="0.35">
      <c r="A80" s="8"/>
      <c r="B80" s="8"/>
      <c r="C80" s="17" t="s">
        <v>535</v>
      </c>
      <c r="D80" s="75" t="str">
        <f>DEC2BIN(F80,2)</f>
        <v>10</v>
      </c>
      <c r="E80" s="8"/>
      <c r="F80" s="74">
        <v>2</v>
      </c>
      <c r="G80" s="8"/>
      <c r="H80" s="21"/>
      <c r="J80" s="8"/>
      <c r="K80" s="8"/>
      <c r="L80" s="17" t="s">
        <v>686</v>
      </c>
      <c r="M80" s="8" t="str">
        <f>DEC2BIN(N80,2)</f>
        <v>10</v>
      </c>
      <c r="N80" s="8">
        <v>2</v>
      </c>
      <c r="O80" s="8"/>
    </row>
    <row r="81" spans="1:16" ht="29" x14ac:dyDescent="0.35">
      <c r="A81" s="8"/>
      <c r="B81" s="8"/>
      <c r="C81" s="17" t="s">
        <v>536</v>
      </c>
      <c r="D81" s="75" t="str">
        <f>DEC2BIN(F81,2)</f>
        <v>11</v>
      </c>
      <c r="E81" s="8"/>
      <c r="F81" s="74">
        <v>3</v>
      </c>
      <c r="G81" s="8"/>
      <c r="H81" s="21"/>
      <c r="J81" s="8"/>
      <c r="K81" s="8"/>
      <c r="L81" s="17" t="s">
        <v>684</v>
      </c>
      <c r="M81" s="8" t="str">
        <f>DEC2BIN(N81,2)</f>
        <v>00</v>
      </c>
      <c r="N81" s="8">
        <v>0</v>
      </c>
      <c r="O81" s="8"/>
    </row>
    <row r="82" spans="1:16" ht="29" x14ac:dyDescent="0.35">
      <c r="A82" s="8"/>
      <c r="B82" s="8" t="s">
        <v>576</v>
      </c>
      <c r="C82" s="17" t="s">
        <v>574</v>
      </c>
      <c r="D82" s="75" t="str">
        <f t="shared" ref="D82:D97" si="10">DEC2BIN(F82,3)</f>
        <v>000</v>
      </c>
      <c r="E82" s="8"/>
      <c r="F82" s="74">
        <v>0</v>
      </c>
      <c r="G82" s="76" t="e">
        <f>IF(LDDR4_INIT!D28="RFU",111,LOOKUP(LDDR4_INIT!D28,LU!C82:C88,LU!D82:D88))</f>
        <v>#N/A</v>
      </c>
      <c r="H82" s="21"/>
      <c r="J82" s="8"/>
      <c r="K82" s="8"/>
      <c r="L82" s="17" t="s">
        <v>685</v>
      </c>
      <c r="M82" s="8" t="str">
        <f>DEC2BIN(N82,2)</f>
        <v>01</v>
      </c>
      <c r="N82" s="8">
        <v>1</v>
      </c>
      <c r="O82" s="8"/>
    </row>
    <row r="83" spans="1:16" x14ac:dyDescent="0.35">
      <c r="A83" s="8"/>
      <c r="B83" s="8"/>
      <c r="C83" s="17" t="s">
        <v>531</v>
      </c>
      <c r="D83" s="75" t="str">
        <f t="shared" si="10"/>
        <v>001</v>
      </c>
      <c r="E83" s="8"/>
      <c r="F83" s="74">
        <v>1</v>
      </c>
      <c r="G83" s="8"/>
      <c r="H83" s="21"/>
      <c r="J83" s="8"/>
      <c r="K83" s="8" t="s">
        <v>681</v>
      </c>
      <c r="L83" s="8">
        <v>9</v>
      </c>
      <c r="M83" s="8" t="str">
        <f t="shared" ref="M83:M90" si="11">DEC2BIN(N83,3)</f>
        <v>000</v>
      </c>
      <c r="N83" s="8">
        <v>0</v>
      </c>
      <c r="O83" s="8"/>
    </row>
    <row r="84" spans="1:16" x14ac:dyDescent="0.35">
      <c r="A84" s="8"/>
      <c r="B84" s="8"/>
      <c r="C84" s="17" t="s">
        <v>532</v>
      </c>
      <c r="D84" s="75" t="str">
        <f t="shared" si="10"/>
        <v>010</v>
      </c>
      <c r="E84" s="8"/>
      <c r="F84" s="74">
        <v>2</v>
      </c>
      <c r="G84" s="8"/>
      <c r="H84" s="21"/>
      <c r="J84" s="8"/>
      <c r="K84" s="8"/>
      <c r="L84" s="8">
        <v>10</v>
      </c>
      <c r="M84" s="8" t="str">
        <f t="shared" si="11"/>
        <v>001</v>
      </c>
      <c r="N84" s="8">
        <v>1</v>
      </c>
      <c r="O84" s="8"/>
    </row>
    <row r="85" spans="1:16" x14ac:dyDescent="0.35">
      <c r="A85" s="8"/>
      <c r="B85" s="8"/>
      <c r="C85" s="17" t="s">
        <v>533</v>
      </c>
      <c r="D85" s="75" t="str">
        <f t="shared" si="10"/>
        <v>011</v>
      </c>
      <c r="E85" s="8"/>
      <c r="F85" s="74">
        <v>3</v>
      </c>
      <c r="G85" s="8"/>
      <c r="H85" s="21"/>
      <c r="J85" s="8"/>
      <c r="K85" s="8"/>
      <c r="L85" s="8">
        <v>11</v>
      </c>
      <c r="M85" s="8" t="str">
        <f t="shared" si="11"/>
        <v>010</v>
      </c>
      <c r="N85" s="8">
        <v>2</v>
      </c>
      <c r="O85" s="8"/>
    </row>
    <row r="86" spans="1:16" x14ac:dyDescent="0.35">
      <c r="A86" s="8"/>
      <c r="B86" s="8"/>
      <c r="C86" s="17" t="s">
        <v>534</v>
      </c>
      <c r="D86" s="75" t="str">
        <f t="shared" si="10"/>
        <v>100</v>
      </c>
      <c r="E86" s="8"/>
      <c r="F86" s="74">
        <v>4</v>
      </c>
      <c r="G86" s="8"/>
      <c r="H86" s="21"/>
      <c r="J86" s="8"/>
      <c r="K86" s="8"/>
      <c r="L86" s="8">
        <v>12</v>
      </c>
      <c r="M86" s="8" t="str">
        <f t="shared" si="11"/>
        <v>011</v>
      </c>
      <c r="N86" s="8">
        <v>3</v>
      </c>
      <c r="O86" s="8"/>
    </row>
    <row r="87" spans="1:16" x14ac:dyDescent="0.35">
      <c r="A87" s="8"/>
      <c r="B87" s="8"/>
      <c r="C87" s="17" t="s">
        <v>535</v>
      </c>
      <c r="D87" s="75" t="str">
        <f t="shared" si="10"/>
        <v>101</v>
      </c>
      <c r="E87" s="8"/>
      <c r="F87" s="74">
        <v>5</v>
      </c>
      <c r="G87" s="8"/>
      <c r="H87" s="21"/>
      <c r="J87" s="8"/>
      <c r="K87" s="8"/>
      <c r="L87" s="8">
        <v>14</v>
      </c>
      <c r="M87" s="8" t="str">
        <f t="shared" si="11"/>
        <v>100</v>
      </c>
      <c r="N87" s="8">
        <v>4</v>
      </c>
      <c r="O87" s="8"/>
    </row>
    <row r="88" spans="1:16" x14ac:dyDescent="0.35">
      <c r="A88" s="8"/>
      <c r="B88" s="8"/>
      <c r="C88" s="17" t="s">
        <v>536</v>
      </c>
      <c r="D88" s="75" t="str">
        <f t="shared" si="10"/>
        <v>110</v>
      </c>
      <c r="E88" s="8"/>
      <c r="F88" s="74">
        <v>6</v>
      </c>
      <c r="G88" s="8"/>
      <c r="H88" s="21"/>
      <c r="J88" s="8"/>
      <c r="K88" s="8"/>
      <c r="L88" s="8">
        <v>16</v>
      </c>
      <c r="M88" s="8" t="str">
        <f t="shared" si="11"/>
        <v>101</v>
      </c>
      <c r="N88" s="8">
        <v>5</v>
      </c>
      <c r="O88" s="8"/>
    </row>
    <row r="89" spans="1:16" x14ac:dyDescent="0.35">
      <c r="A89" s="8"/>
      <c r="B89" s="8"/>
      <c r="C89" s="17" t="s">
        <v>530</v>
      </c>
      <c r="D89" s="75" t="str">
        <f t="shared" si="10"/>
        <v>111</v>
      </c>
      <c r="E89" s="8"/>
      <c r="F89" s="74">
        <v>7</v>
      </c>
      <c r="G89" s="8"/>
      <c r="H89" s="21"/>
      <c r="J89" s="8"/>
      <c r="K89" s="8"/>
      <c r="L89" s="8">
        <v>18</v>
      </c>
      <c r="M89" s="8" t="str">
        <f t="shared" si="11"/>
        <v>110</v>
      </c>
      <c r="N89" s="8">
        <v>6</v>
      </c>
      <c r="O89" s="8"/>
    </row>
    <row r="90" spans="1:16" x14ac:dyDescent="0.35">
      <c r="A90" s="8"/>
      <c r="B90" s="8" t="s">
        <v>573</v>
      </c>
      <c r="C90" s="17" t="s">
        <v>574</v>
      </c>
      <c r="D90" s="75" t="str">
        <f t="shared" si="10"/>
        <v>000</v>
      </c>
      <c r="E90" s="8"/>
      <c r="F90" s="74">
        <v>0</v>
      </c>
      <c r="G90" s="76" t="e">
        <f>IF(LDDR4_INIT!D29="RFU",111,LOOKUP(LDDR4_INIT!D29,LU!C90:C96,LU!D90:D96))</f>
        <v>#N/A</v>
      </c>
      <c r="H90" s="21"/>
      <c r="J90" s="8"/>
      <c r="K90" s="8"/>
      <c r="L90" s="8">
        <v>20</v>
      </c>
      <c r="M90" s="8" t="str">
        <f t="shared" si="11"/>
        <v>111</v>
      </c>
      <c r="N90" s="8">
        <v>7</v>
      </c>
      <c r="O90" s="8"/>
    </row>
    <row r="91" spans="1:16" x14ac:dyDescent="0.35">
      <c r="A91" s="8"/>
      <c r="B91" s="8"/>
      <c r="C91" s="17" t="s">
        <v>531</v>
      </c>
      <c r="D91" s="75" t="str">
        <f t="shared" si="10"/>
        <v>001</v>
      </c>
      <c r="E91" s="8"/>
      <c r="F91" s="74">
        <v>1</v>
      </c>
      <c r="G91" s="8"/>
      <c r="H91" s="21"/>
      <c r="J91" s="80" t="s">
        <v>523</v>
      </c>
      <c r="K91" s="8" t="s">
        <v>695</v>
      </c>
      <c r="L91" s="8" t="s">
        <v>704</v>
      </c>
      <c r="M91" s="8" t="str">
        <f t="shared" ref="M91:M96" si="12">DEC2BIN(N91,2)</f>
        <v>01</v>
      </c>
      <c r="N91" s="8">
        <v>1</v>
      </c>
      <c r="O91" s="91" t="str">
        <f>LOOKUP(DDR4_INIT!D19,LU!L91:L93,LU!M91:M93)</f>
        <v>00</v>
      </c>
      <c r="P91" s="144" t="str">
        <f>O91&amp;O92&amp;O93&amp;O94&amp;O95&amp;O96&amp;O97&amp;O98</f>
        <v>0001000000000</v>
      </c>
    </row>
    <row r="92" spans="1:16" x14ac:dyDescent="0.35">
      <c r="A92" s="8"/>
      <c r="B92" s="8"/>
      <c r="C92" s="17" t="s">
        <v>532</v>
      </c>
      <c r="D92" s="75" t="str">
        <f t="shared" si="10"/>
        <v>010</v>
      </c>
      <c r="E92" s="8"/>
      <c r="F92" s="74">
        <v>2</v>
      </c>
      <c r="G92" s="8"/>
      <c r="H92" s="21"/>
      <c r="J92" s="8"/>
      <c r="K92" s="8"/>
      <c r="L92" s="8" t="s">
        <v>703</v>
      </c>
      <c r="M92" s="8" t="str">
        <f t="shared" si="12"/>
        <v>00</v>
      </c>
      <c r="N92" s="8">
        <v>0</v>
      </c>
      <c r="O92" s="91" t="str">
        <f>LOOKUP(DDR4_INIT!D20,LU!L94:L96,LU!M94:M96)</f>
        <v>01</v>
      </c>
      <c r="P92" s="8" t="str">
        <f>BIN2HEX(MID(P91,1,5),2)</f>
        <v>02</v>
      </c>
    </row>
    <row r="93" spans="1:16" x14ac:dyDescent="0.35">
      <c r="A93" s="8"/>
      <c r="B93" s="8"/>
      <c r="C93" s="17" t="s">
        <v>533</v>
      </c>
      <c r="D93" s="75" t="str">
        <f t="shared" si="10"/>
        <v>011</v>
      </c>
      <c r="E93" s="8"/>
      <c r="F93" s="74">
        <v>3</v>
      </c>
      <c r="G93" s="8"/>
      <c r="H93" s="21"/>
      <c r="J93" s="8"/>
      <c r="K93" s="8"/>
      <c r="L93" s="8" t="s">
        <v>705</v>
      </c>
      <c r="M93" s="8" t="str">
        <f t="shared" si="12"/>
        <v>10</v>
      </c>
      <c r="N93" s="8">
        <v>2</v>
      </c>
      <c r="O93" s="91" t="str">
        <f>LOOKUP(DDR4_INIT!D21,LU!L97:L101,LU!M97:M101)</f>
        <v>000</v>
      </c>
      <c r="P93" s="8" t="str">
        <f>BIN2HEX(MID(P91,6,8),2)</f>
        <v>00</v>
      </c>
    </row>
    <row r="94" spans="1:16" ht="29" x14ac:dyDescent="0.35">
      <c r="A94" s="8"/>
      <c r="B94" s="8"/>
      <c r="C94" s="17" t="s">
        <v>534</v>
      </c>
      <c r="D94" s="75" t="str">
        <f t="shared" si="10"/>
        <v>100</v>
      </c>
      <c r="E94" s="8"/>
      <c r="F94" s="74">
        <v>4</v>
      </c>
      <c r="G94" s="8"/>
      <c r="H94" s="21"/>
      <c r="J94" s="17"/>
      <c r="K94" s="17" t="s">
        <v>709</v>
      </c>
      <c r="L94" s="17" t="s">
        <v>706</v>
      </c>
      <c r="M94" s="17" t="str">
        <f t="shared" si="12"/>
        <v>00</v>
      </c>
      <c r="N94" s="17">
        <v>0</v>
      </c>
      <c r="O94" s="91" t="str">
        <f>LOOKUP(DDR4_INIT!D22,LU!L102:L103,LU!M102:M103)</f>
        <v>0</v>
      </c>
    </row>
    <row r="95" spans="1:16" x14ac:dyDescent="0.35">
      <c r="A95" s="8"/>
      <c r="B95" s="8"/>
      <c r="C95" s="17" t="s">
        <v>535</v>
      </c>
      <c r="D95" s="75" t="str">
        <f t="shared" si="10"/>
        <v>101</v>
      </c>
      <c r="E95" s="8"/>
      <c r="F95" s="74">
        <v>5</v>
      </c>
      <c r="G95" s="8"/>
      <c r="H95" s="21"/>
      <c r="J95" s="8"/>
      <c r="K95" s="8"/>
      <c r="L95" s="8" t="s">
        <v>707</v>
      </c>
      <c r="M95" s="8" t="str">
        <f t="shared" si="12"/>
        <v>01</v>
      </c>
      <c r="N95" s="8">
        <v>1</v>
      </c>
      <c r="O95" s="91" t="str">
        <f>LOOKUP(DDR4_INIT!D23,LU!L104:L105,LU!M104:M105)</f>
        <v>0</v>
      </c>
    </row>
    <row r="96" spans="1:16" x14ac:dyDescent="0.35">
      <c r="A96" s="8"/>
      <c r="B96" s="8"/>
      <c r="C96" s="17" t="s">
        <v>536</v>
      </c>
      <c r="D96" s="75" t="str">
        <f t="shared" si="10"/>
        <v>110</v>
      </c>
      <c r="E96" s="8"/>
      <c r="F96" s="74">
        <v>6</v>
      </c>
      <c r="G96" s="8"/>
      <c r="H96" s="21"/>
      <c r="J96" s="8"/>
      <c r="K96" s="8"/>
      <c r="L96" s="8" t="s">
        <v>708</v>
      </c>
      <c r="M96" s="8" t="str">
        <f t="shared" si="12"/>
        <v>10</v>
      </c>
      <c r="N96" s="8">
        <v>2</v>
      </c>
      <c r="O96" s="91" t="str">
        <f>LOOKUP(DDR4_INIT!D24,LU!L106:L107,LU!M106:M107)</f>
        <v>0</v>
      </c>
    </row>
    <row r="97" spans="1:15" x14ac:dyDescent="0.35">
      <c r="A97" s="8"/>
      <c r="B97" s="8"/>
      <c r="C97" s="17" t="s">
        <v>530</v>
      </c>
      <c r="D97" s="75" t="str">
        <f t="shared" si="10"/>
        <v>111</v>
      </c>
      <c r="E97" s="8"/>
      <c r="F97" s="74">
        <v>7</v>
      </c>
      <c r="G97" s="8"/>
      <c r="H97" s="21"/>
      <c r="J97" s="8"/>
      <c r="K97" s="17" t="s">
        <v>697</v>
      </c>
      <c r="L97" s="8" t="s">
        <v>712</v>
      </c>
      <c r="M97" s="8" t="str">
        <f>DEC2BIN(N97,3)</f>
        <v>101</v>
      </c>
      <c r="N97" s="8">
        <v>5</v>
      </c>
      <c r="O97" s="91" t="str">
        <f>LOOKUP(DDR4_INIT!D25,LU!L108:L109,LU!M108:M109)</f>
        <v>0</v>
      </c>
    </row>
    <row r="98" spans="1:15" x14ac:dyDescent="0.35">
      <c r="A98" s="80" t="s">
        <v>579</v>
      </c>
      <c r="B98" s="8" t="s">
        <v>581</v>
      </c>
      <c r="C98" s="17" t="s">
        <v>582</v>
      </c>
      <c r="D98" s="75" t="str">
        <f>DEC2BIN(F98,1)</f>
        <v>0</v>
      </c>
      <c r="E98" s="8"/>
      <c r="F98" s="74">
        <v>0</v>
      </c>
      <c r="G98" s="8" t="e">
        <f>LOOKUP(LDDR4_INIT!D30,LU!C98:C99,LU!D98:D99)</f>
        <v>#N/A</v>
      </c>
      <c r="H98" s="21"/>
      <c r="J98" s="8"/>
      <c r="K98" s="8"/>
      <c r="L98" s="8" t="s">
        <v>713</v>
      </c>
      <c r="M98" s="8" t="str">
        <f>DEC2BIN(N98,3)</f>
        <v>110</v>
      </c>
      <c r="N98" s="8">
        <v>6</v>
      </c>
      <c r="O98" s="91" t="str">
        <f>LOOKUP(DDR4_INIT!D26,LU!L110:L113,LU!M110:M113)</f>
        <v>00</v>
      </c>
    </row>
    <row r="99" spans="1:15" ht="29" x14ac:dyDescent="0.35">
      <c r="A99" s="8"/>
      <c r="B99" s="8"/>
      <c r="C99" s="17" t="s">
        <v>583</v>
      </c>
      <c r="D99" s="75" t="str">
        <f>DEC2BIN(F99,1)</f>
        <v>1</v>
      </c>
      <c r="E99" s="8"/>
      <c r="F99" s="74">
        <v>1</v>
      </c>
      <c r="G99" s="8"/>
      <c r="H99" s="21"/>
      <c r="J99" s="8"/>
      <c r="K99" s="8"/>
      <c r="L99" s="8" t="s">
        <v>710</v>
      </c>
      <c r="M99" s="8" t="str">
        <f>DEC2BIN(N99,3)</f>
        <v>001</v>
      </c>
      <c r="N99" s="8">
        <v>1</v>
      </c>
      <c r="O99" s="8"/>
    </row>
    <row r="100" spans="1:15" x14ac:dyDescent="0.35">
      <c r="A100" s="8"/>
      <c r="B100" s="8" t="s">
        <v>580</v>
      </c>
      <c r="C100" s="17"/>
      <c r="D100" s="75" t="str">
        <f>DEC2BIN(F100,6)</f>
        <v>000000</v>
      </c>
      <c r="E100" s="8"/>
      <c r="F100" s="74">
        <v>0</v>
      </c>
      <c r="G100" s="8" t="e">
        <f>LOOKUP(LDDR4_INIT!D31,LU!D100:D150,LU!D100:D150)</f>
        <v>#N/A</v>
      </c>
      <c r="H100" s="21"/>
      <c r="J100" s="8"/>
      <c r="K100" s="8"/>
      <c r="L100" s="8" t="s">
        <v>711</v>
      </c>
      <c r="M100" s="8" t="str">
        <f>DEC2BIN(N100,3)</f>
        <v>010</v>
      </c>
      <c r="N100" s="8">
        <v>2</v>
      </c>
      <c r="O100" s="8"/>
    </row>
    <row r="101" spans="1:15" x14ac:dyDescent="0.35">
      <c r="A101" s="8"/>
      <c r="B101" s="8"/>
      <c r="C101" s="17"/>
      <c r="D101" s="75" t="str">
        <f t="shared" ref="D101:D150" si="13">DEC2BIN(F101,6)</f>
        <v>000001</v>
      </c>
      <c r="E101" s="8"/>
      <c r="F101" s="74">
        <v>1</v>
      </c>
      <c r="G101" s="8"/>
      <c r="H101" s="21"/>
      <c r="J101" s="8"/>
      <c r="K101" s="8"/>
      <c r="L101" s="8" t="s">
        <v>657</v>
      </c>
      <c r="M101" s="8" t="str">
        <f>DEC2BIN(N101,3)</f>
        <v>000</v>
      </c>
      <c r="N101" s="8">
        <v>0</v>
      </c>
      <c r="O101" s="8"/>
    </row>
    <row r="102" spans="1:15" x14ac:dyDescent="0.35">
      <c r="A102" s="8"/>
      <c r="B102" s="8"/>
      <c r="C102" s="17"/>
      <c r="D102" s="75" t="str">
        <f t="shared" si="13"/>
        <v>000010</v>
      </c>
      <c r="E102" s="8"/>
      <c r="F102" s="74">
        <v>2</v>
      </c>
      <c r="G102" s="8"/>
      <c r="H102" s="21"/>
      <c r="J102" s="8"/>
      <c r="K102" s="8" t="s">
        <v>698</v>
      </c>
      <c r="L102" s="8" t="s">
        <v>672</v>
      </c>
      <c r="M102" s="8" t="str">
        <f t="shared" ref="M102:M109" si="14">DEC2BIN(N102,1)</f>
        <v>0</v>
      </c>
      <c r="N102" s="8">
        <v>0</v>
      </c>
      <c r="O102" s="8"/>
    </row>
    <row r="103" spans="1:15" x14ac:dyDescent="0.35">
      <c r="A103" s="8"/>
      <c r="B103" s="8"/>
      <c r="C103" s="17"/>
      <c r="D103" s="75" t="str">
        <f t="shared" si="13"/>
        <v>000011</v>
      </c>
      <c r="E103" s="8"/>
      <c r="F103" s="74">
        <v>3</v>
      </c>
      <c r="G103" s="8"/>
      <c r="H103" s="21"/>
      <c r="J103" s="8"/>
      <c r="K103" s="8"/>
      <c r="L103" s="8" t="s">
        <v>673</v>
      </c>
      <c r="M103" s="8" t="str">
        <f t="shared" si="14"/>
        <v>1</v>
      </c>
      <c r="N103" s="8">
        <v>1</v>
      </c>
      <c r="O103" s="8"/>
    </row>
    <row r="104" spans="1:15" x14ac:dyDescent="0.35">
      <c r="A104" s="8"/>
      <c r="B104" s="8"/>
      <c r="C104" s="17"/>
      <c r="D104" s="75" t="str">
        <f t="shared" si="13"/>
        <v>000100</v>
      </c>
      <c r="E104" s="8"/>
      <c r="F104" s="74">
        <v>4</v>
      </c>
      <c r="G104" s="8"/>
      <c r="H104" s="21"/>
      <c r="J104" s="8"/>
      <c r="K104" s="8" t="s">
        <v>699</v>
      </c>
      <c r="L104" s="8" t="s">
        <v>672</v>
      </c>
      <c r="M104" s="8" t="str">
        <f t="shared" si="14"/>
        <v>0</v>
      </c>
      <c r="N104" s="8">
        <v>0</v>
      </c>
      <c r="O104" s="8"/>
    </row>
    <row r="105" spans="1:15" x14ac:dyDescent="0.35">
      <c r="A105" s="8"/>
      <c r="B105" s="8"/>
      <c r="C105" s="17"/>
      <c r="D105" s="75" t="str">
        <f t="shared" si="13"/>
        <v>000101</v>
      </c>
      <c r="E105" s="8"/>
      <c r="F105" s="74">
        <v>5</v>
      </c>
      <c r="G105" s="8"/>
      <c r="H105" s="21"/>
      <c r="J105" s="8"/>
      <c r="K105" s="8"/>
      <c r="L105" s="8" t="s">
        <v>673</v>
      </c>
      <c r="M105" s="8" t="str">
        <f t="shared" si="14"/>
        <v>1</v>
      </c>
      <c r="N105" s="8">
        <v>1</v>
      </c>
      <c r="O105" s="8"/>
    </row>
    <row r="106" spans="1:15" x14ac:dyDescent="0.35">
      <c r="A106" s="8"/>
      <c r="B106" s="8"/>
      <c r="C106" s="17"/>
      <c r="D106" s="75" t="str">
        <f t="shared" si="13"/>
        <v>000110</v>
      </c>
      <c r="E106" s="8"/>
      <c r="F106" s="74">
        <v>6</v>
      </c>
      <c r="G106" s="8"/>
      <c r="H106" s="21"/>
      <c r="J106" s="8"/>
      <c r="K106" s="8" t="s">
        <v>700</v>
      </c>
      <c r="L106" s="8" t="s">
        <v>714</v>
      </c>
      <c r="M106" s="8" t="str">
        <f t="shared" si="14"/>
        <v>0</v>
      </c>
      <c r="N106" s="8">
        <v>0</v>
      </c>
      <c r="O106" s="8"/>
    </row>
    <row r="107" spans="1:15" x14ac:dyDescent="0.35">
      <c r="A107" s="8"/>
      <c r="B107" s="8"/>
      <c r="C107" s="17"/>
      <c r="D107" s="75" t="str">
        <f t="shared" si="13"/>
        <v>000111</v>
      </c>
      <c r="E107" s="8"/>
      <c r="F107" s="74">
        <v>7</v>
      </c>
      <c r="G107" s="8"/>
      <c r="H107" s="21"/>
      <c r="J107" s="8"/>
      <c r="K107" s="8"/>
      <c r="L107" s="8" t="s">
        <v>715</v>
      </c>
      <c r="M107" s="8" t="str">
        <f t="shared" si="14"/>
        <v>1</v>
      </c>
      <c r="N107" s="8">
        <v>1</v>
      </c>
      <c r="O107" s="8"/>
    </row>
    <row r="108" spans="1:15" x14ac:dyDescent="0.35">
      <c r="A108" s="8"/>
      <c r="B108" s="8"/>
      <c r="C108" s="17"/>
      <c r="D108" s="75" t="str">
        <f t="shared" si="13"/>
        <v>001000</v>
      </c>
      <c r="E108" s="8"/>
      <c r="F108" s="74">
        <v>8</v>
      </c>
      <c r="G108" s="8"/>
      <c r="H108" s="21"/>
      <c r="J108" s="8"/>
      <c r="K108" s="8" t="s">
        <v>701</v>
      </c>
      <c r="L108" s="8" t="s">
        <v>716</v>
      </c>
      <c r="M108" s="8" t="str">
        <f t="shared" si="14"/>
        <v>1</v>
      </c>
      <c r="N108" s="8">
        <v>1</v>
      </c>
      <c r="O108" s="8"/>
    </row>
    <row r="109" spans="1:15" x14ac:dyDescent="0.35">
      <c r="A109" s="8"/>
      <c r="B109" s="8"/>
      <c r="C109" s="17"/>
      <c r="D109" s="75" t="str">
        <f t="shared" si="13"/>
        <v>001001</v>
      </c>
      <c r="E109" s="8"/>
      <c r="F109" s="74">
        <v>9</v>
      </c>
      <c r="G109" s="8"/>
      <c r="H109" s="21"/>
      <c r="J109" s="8"/>
      <c r="K109" s="8"/>
      <c r="L109" s="8" t="s">
        <v>657</v>
      </c>
      <c r="M109" s="8" t="str">
        <f t="shared" si="14"/>
        <v>0</v>
      </c>
      <c r="N109" s="8">
        <v>0</v>
      </c>
      <c r="O109" s="8"/>
    </row>
    <row r="110" spans="1:15" x14ac:dyDescent="0.35">
      <c r="A110" s="8"/>
      <c r="B110" s="8"/>
      <c r="C110" s="17"/>
      <c r="D110" s="75" t="str">
        <f t="shared" si="13"/>
        <v>001010</v>
      </c>
      <c r="E110" s="8"/>
      <c r="F110" s="74">
        <v>10</v>
      </c>
      <c r="G110" s="8"/>
      <c r="H110" s="21"/>
      <c r="J110" s="8"/>
      <c r="K110" s="99" t="s">
        <v>702</v>
      </c>
      <c r="L110" s="8" t="s">
        <v>717</v>
      </c>
      <c r="M110" s="8" t="str">
        <f>DEC2BIN(N110,2)</f>
        <v>00</v>
      </c>
      <c r="N110" s="8">
        <v>0</v>
      </c>
      <c r="O110" s="8"/>
    </row>
    <row r="111" spans="1:15" x14ac:dyDescent="0.35">
      <c r="A111" s="8"/>
      <c r="B111" s="8"/>
      <c r="C111" s="17"/>
      <c r="D111" s="75" t="str">
        <f t="shared" si="13"/>
        <v>001011</v>
      </c>
      <c r="E111" s="8"/>
      <c r="F111" s="74">
        <v>11</v>
      </c>
      <c r="G111" s="8"/>
      <c r="H111" s="21"/>
      <c r="J111" s="8"/>
      <c r="K111" s="8"/>
      <c r="L111" s="8" t="s">
        <v>718</v>
      </c>
      <c r="M111" s="8" t="str">
        <f>DEC2BIN(N111,2)</f>
        <v>01</v>
      </c>
      <c r="N111" s="8">
        <v>1</v>
      </c>
      <c r="O111" s="8"/>
    </row>
    <row r="112" spans="1:15" x14ac:dyDescent="0.35">
      <c r="A112" s="8"/>
      <c r="B112" s="8"/>
      <c r="C112" s="17"/>
      <c r="D112" s="75" t="str">
        <f t="shared" si="13"/>
        <v>001100</v>
      </c>
      <c r="E112" s="8"/>
      <c r="F112" s="74">
        <v>12</v>
      </c>
      <c r="G112" s="8"/>
      <c r="H112" s="21"/>
      <c r="J112" s="8"/>
      <c r="K112" s="8"/>
      <c r="L112" s="8" t="s">
        <v>719</v>
      </c>
      <c r="M112" s="8" t="str">
        <f>DEC2BIN(N112,2)</f>
        <v>10</v>
      </c>
      <c r="N112" s="8">
        <v>2</v>
      </c>
      <c r="O112" s="8"/>
    </row>
    <row r="113" spans="1:16" x14ac:dyDescent="0.35">
      <c r="A113" s="8"/>
      <c r="B113" s="8"/>
      <c r="C113" s="17"/>
      <c r="D113" s="75" t="str">
        <f t="shared" si="13"/>
        <v>001101</v>
      </c>
      <c r="E113" s="8"/>
      <c r="F113" s="74">
        <v>13</v>
      </c>
      <c r="G113" s="8"/>
      <c r="H113" s="21"/>
      <c r="J113" s="8"/>
      <c r="K113" s="8"/>
      <c r="L113" s="8" t="s">
        <v>720</v>
      </c>
      <c r="M113" s="8" t="str">
        <f>DEC2BIN(N113,2)</f>
        <v>11</v>
      </c>
      <c r="N113" s="8">
        <v>3</v>
      </c>
      <c r="O113" s="8"/>
    </row>
    <row r="114" spans="1:16" x14ac:dyDescent="0.35">
      <c r="A114" s="8"/>
      <c r="B114" s="8"/>
      <c r="C114" s="17"/>
      <c r="D114" s="75" t="str">
        <f t="shared" si="13"/>
        <v>001110</v>
      </c>
      <c r="E114" s="8"/>
      <c r="F114" s="74">
        <v>14</v>
      </c>
      <c r="G114" s="8"/>
      <c r="H114" s="21"/>
      <c r="J114" s="80" t="s">
        <v>638</v>
      </c>
      <c r="K114" s="8" t="s">
        <v>721</v>
      </c>
      <c r="L114" s="8" t="s">
        <v>672</v>
      </c>
      <c r="M114" s="8" t="str">
        <f t="shared" ref="M114:M123" si="15">DEC2BIN(N114,1)</f>
        <v>0</v>
      </c>
      <c r="N114" s="8">
        <v>0</v>
      </c>
      <c r="O114" s="91" t="str">
        <f>LOOKUP(DDR4_INIT!D27,LU!L114:L115,LU!M114:M115)</f>
        <v>0</v>
      </c>
      <c r="P114" s="144" t="str">
        <f>0&amp;0&amp;O114&amp;O115&amp;O116&amp;O117&amp;O118&amp;O119&amp;O120&amp;O121&amp;O122&amp;O123&amp;O124</f>
        <v>000110000000000</v>
      </c>
    </row>
    <row r="115" spans="1:16" x14ac:dyDescent="0.35">
      <c r="A115" s="8"/>
      <c r="B115" s="8"/>
      <c r="C115" s="17"/>
      <c r="D115" s="75" t="str">
        <f t="shared" si="13"/>
        <v>001111</v>
      </c>
      <c r="E115" s="8"/>
      <c r="F115" s="74">
        <v>15</v>
      </c>
      <c r="G115" s="8"/>
      <c r="H115" s="21"/>
      <c r="J115" s="8"/>
      <c r="K115" s="8"/>
      <c r="L115" s="8" t="s">
        <v>673</v>
      </c>
      <c r="M115" s="8" t="str">
        <f t="shared" si="15"/>
        <v>1</v>
      </c>
      <c r="N115" s="8">
        <v>1</v>
      </c>
      <c r="O115" s="91" t="str">
        <f>LOOKUP(DDR4_INIT!D28,LU!L116:L117,LU!M116:M117)</f>
        <v>1</v>
      </c>
      <c r="P115" s="8" t="str">
        <f>BIN2HEX(MID(P114,1,8),2)</f>
        <v>18</v>
      </c>
    </row>
    <row r="116" spans="1:16" x14ac:dyDescent="0.35">
      <c r="A116" s="8"/>
      <c r="B116" s="8"/>
      <c r="C116" s="17"/>
      <c r="D116" s="75" t="str">
        <f t="shared" si="13"/>
        <v>010000</v>
      </c>
      <c r="E116" s="8"/>
      <c r="F116" s="74">
        <v>16</v>
      </c>
      <c r="G116" s="8"/>
      <c r="H116" s="21"/>
      <c r="J116" s="8"/>
      <c r="K116" s="8" t="s">
        <v>722</v>
      </c>
      <c r="L116" s="8" t="s">
        <v>731</v>
      </c>
      <c r="M116" s="8" t="str">
        <f t="shared" si="15"/>
        <v>0</v>
      </c>
      <c r="N116" s="8">
        <v>0</v>
      </c>
      <c r="O116" s="91" t="str">
        <f>LOOKUP(DDR4_INIT!D29,LU!L118:L119,LU!M118:M119)</f>
        <v>1</v>
      </c>
      <c r="P116" s="8" t="str">
        <f>BIN2HEX(MID(P114,9,8),2)</f>
        <v>00</v>
      </c>
    </row>
    <row r="117" spans="1:16" x14ac:dyDescent="0.35">
      <c r="A117" s="8"/>
      <c r="B117" s="8"/>
      <c r="C117" s="17"/>
      <c r="D117" s="75" t="str">
        <f t="shared" si="13"/>
        <v>010001</v>
      </c>
      <c r="E117" s="8"/>
      <c r="F117" s="74">
        <v>17</v>
      </c>
      <c r="G117" s="8"/>
      <c r="H117" s="21"/>
      <c r="J117" s="8"/>
      <c r="K117" s="8"/>
      <c r="L117" s="8" t="s">
        <v>732</v>
      </c>
      <c r="M117" s="8" t="str">
        <f t="shared" si="15"/>
        <v>1</v>
      </c>
      <c r="N117" s="8">
        <v>1</v>
      </c>
      <c r="O117" s="91" t="str">
        <f>LOOKUP(DDR4_INIT!D30,LU!L120:L121,LU!M120:M121)</f>
        <v>0</v>
      </c>
    </row>
    <row r="118" spans="1:16" x14ac:dyDescent="0.35">
      <c r="A118" s="8"/>
      <c r="B118" s="8"/>
      <c r="C118" s="17"/>
      <c r="D118" s="75" t="str">
        <f t="shared" si="13"/>
        <v>010010</v>
      </c>
      <c r="E118" s="8"/>
      <c r="F118" s="74">
        <v>18</v>
      </c>
      <c r="G118" s="8"/>
      <c r="H118" s="21"/>
      <c r="J118" s="8"/>
      <c r="K118" s="8" t="s">
        <v>723</v>
      </c>
      <c r="L118" s="8" t="s">
        <v>731</v>
      </c>
      <c r="M118" s="8" t="str">
        <f t="shared" si="15"/>
        <v>0</v>
      </c>
      <c r="N118" s="8">
        <v>0</v>
      </c>
      <c r="O118" s="91" t="str">
        <f>LOOKUP(DDR4_INIT!D31,LU!L122:L123,LU!M122:M123)</f>
        <v>0</v>
      </c>
    </row>
    <row r="119" spans="1:16" x14ac:dyDescent="0.35">
      <c r="A119" s="8"/>
      <c r="B119" s="8"/>
      <c r="C119" s="17"/>
      <c r="D119" s="75" t="str">
        <f t="shared" si="13"/>
        <v>010011</v>
      </c>
      <c r="E119" s="8"/>
      <c r="F119" s="74">
        <v>19</v>
      </c>
      <c r="G119" s="8"/>
      <c r="H119" s="21"/>
      <c r="J119" s="8"/>
      <c r="K119" s="8"/>
      <c r="L119" s="8" t="s">
        <v>732</v>
      </c>
      <c r="M119" s="8" t="str">
        <f t="shared" si="15"/>
        <v>1</v>
      </c>
      <c r="N119" s="8">
        <v>1</v>
      </c>
      <c r="O119" s="91" t="str">
        <f>LOOKUP(DDR4_INIT!D32,LU!L124:L129,LU!M124:M129)</f>
        <v>000</v>
      </c>
    </row>
    <row r="120" spans="1:16" ht="29" x14ac:dyDescent="0.35">
      <c r="A120" s="8"/>
      <c r="B120" s="8"/>
      <c r="C120" s="17"/>
      <c r="D120" s="75" t="str">
        <f t="shared" si="13"/>
        <v>010100</v>
      </c>
      <c r="E120" s="8"/>
      <c r="F120" s="74">
        <v>20</v>
      </c>
      <c r="G120" s="8"/>
      <c r="H120" s="21"/>
      <c r="J120" s="8"/>
      <c r="K120" s="17" t="s">
        <v>724</v>
      </c>
      <c r="L120" s="8" t="s">
        <v>672</v>
      </c>
      <c r="M120" s="8" t="str">
        <f t="shared" si="15"/>
        <v>0</v>
      </c>
      <c r="N120" s="8">
        <v>0</v>
      </c>
      <c r="O120" s="91" t="str">
        <f>LOOKUP(DDR4_INIT!D33,LU!L130:L131,LU!M130:M131)</f>
        <v>0</v>
      </c>
    </row>
    <row r="121" spans="1:16" x14ac:dyDescent="0.35">
      <c r="A121" s="8"/>
      <c r="B121" s="8"/>
      <c r="C121" s="17"/>
      <c r="D121" s="75" t="str">
        <f t="shared" si="13"/>
        <v>010101</v>
      </c>
      <c r="E121" s="8"/>
      <c r="F121" s="74">
        <v>21</v>
      </c>
      <c r="G121" s="8"/>
      <c r="H121" s="21"/>
      <c r="J121" s="8"/>
      <c r="K121" s="8"/>
      <c r="L121" s="8" t="s">
        <v>673</v>
      </c>
      <c r="M121" s="8" t="str">
        <f t="shared" si="15"/>
        <v>1</v>
      </c>
      <c r="N121" s="8">
        <v>1</v>
      </c>
      <c r="O121" s="91" t="str">
        <f>LOOKUP(DDR4_INIT!D34,LU!L132:L133,LU!M132:M133)</f>
        <v>0</v>
      </c>
    </row>
    <row r="122" spans="1:16" x14ac:dyDescent="0.35">
      <c r="A122" s="8"/>
      <c r="B122" s="8"/>
      <c r="C122" s="17"/>
      <c r="D122" s="75" t="str">
        <f t="shared" si="13"/>
        <v>010110</v>
      </c>
      <c r="E122" s="8"/>
      <c r="F122" s="74">
        <v>22</v>
      </c>
      <c r="G122" s="8"/>
      <c r="H122" s="21"/>
      <c r="J122" s="8"/>
      <c r="K122" s="8" t="s">
        <v>725</v>
      </c>
      <c r="L122" s="8" t="s">
        <v>672</v>
      </c>
      <c r="M122" s="8" t="str">
        <f t="shared" si="15"/>
        <v>0</v>
      </c>
      <c r="N122" s="8">
        <v>0</v>
      </c>
      <c r="O122" s="91" t="str">
        <f>LOOKUP(DDR4_INIT!D35,LU!L134:L135,LU!M134:M135)</f>
        <v>0</v>
      </c>
    </row>
    <row r="123" spans="1:16" x14ac:dyDescent="0.35">
      <c r="A123" s="8"/>
      <c r="B123" s="8"/>
      <c r="C123" s="17"/>
      <c r="D123" s="75" t="str">
        <f t="shared" si="13"/>
        <v>010111</v>
      </c>
      <c r="E123" s="8"/>
      <c r="F123" s="74">
        <v>23</v>
      </c>
      <c r="G123" s="8"/>
      <c r="H123" s="21"/>
      <c r="J123" s="8"/>
      <c r="K123" s="8"/>
      <c r="L123" s="8" t="s">
        <v>673</v>
      </c>
      <c r="M123" s="8" t="str">
        <f t="shared" si="15"/>
        <v>1</v>
      </c>
      <c r="N123" s="8">
        <v>1</v>
      </c>
      <c r="O123" s="91" t="str">
        <f>LOOKUP(DDR4_INIT!D36,LU!L136:L137,LU!M136:M137)</f>
        <v>0</v>
      </c>
    </row>
    <row r="124" spans="1:16" x14ac:dyDescent="0.35">
      <c r="A124" s="8"/>
      <c r="B124" s="8"/>
      <c r="C124" s="17"/>
      <c r="D124" s="75" t="str">
        <f t="shared" si="13"/>
        <v>011000</v>
      </c>
      <c r="E124" s="8"/>
      <c r="F124" s="74">
        <v>24</v>
      </c>
      <c r="G124" s="8"/>
      <c r="H124" s="21"/>
      <c r="J124" s="8"/>
      <c r="K124" s="8" t="s">
        <v>733</v>
      </c>
      <c r="L124" s="8" t="s">
        <v>672</v>
      </c>
      <c r="M124" s="8" t="str">
        <f t="shared" ref="M124:M129" si="16">DEC2BIN(N124,3)</f>
        <v>000</v>
      </c>
      <c r="N124" s="8">
        <v>0</v>
      </c>
      <c r="O124" s="91" t="str">
        <f>LOOKUP(DDR4_INIT!D37,LU!L138:L139,LU!M138:M139)</f>
        <v>0</v>
      </c>
    </row>
    <row r="125" spans="1:16" x14ac:dyDescent="0.35">
      <c r="A125" s="8"/>
      <c r="B125" s="8"/>
      <c r="C125" s="17"/>
      <c r="D125" s="75" t="str">
        <f t="shared" si="13"/>
        <v>011001</v>
      </c>
      <c r="E125" s="8"/>
      <c r="F125" s="74">
        <v>25</v>
      </c>
      <c r="G125" s="8"/>
      <c r="H125" s="21"/>
      <c r="J125" s="8"/>
      <c r="K125" s="8"/>
      <c r="L125" s="8">
        <v>3</v>
      </c>
      <c r="M125" s="8" t="str">
        <f t="shared" si="16"/>
        <v>001</v>
      </c>
      <c r="N125" s="8">
        <v>1</v>
      </c>
      <c r="O125" s="8"/>
    </row>
    <row r="126" spans="1:16" x14ac:dyDescent="0.35">
      <c r="A126" s="8"/>
      <c r="B126" s="8"/>
      <c r="C126" s="17"/>
      <c r="D126" s="75" t="str">
        <f t="shared" si="13"/>
        <v>011010</v>
      </c>
      <c r="E126" s="8"/>
      <c r="F126" s="74">
        <v>26</v>
      </c>
      <c r="G126" s="8"/>
      <c r="H126" s="21"/>
      <c r="J126" s="8"/>
      <c r="K126" s="8"/>
      <c r="L126" s="8">
        <v>4</v>
      </c>
      <c r="M126" s="8" t="str">
        <f t="shared" si="16"/>
        <v>010</v>
      </c>
      <c r="N126" s="8">
        <v>2</v>
      </c>
      <c r="O126" s="8"/>
    </row>
    <row r="127" spans="1:16" x14ac:dyDescent="0.35">
      <c r="A127" s="8"/>
      <c r="B127" s="8"/>
      <c r="C127" s="17"/>
      <c r="D127" s="75" t="str">
        <f t="shared" si="13"/>
        <v>011011</v>
      </c>
      <c r="E127" s="8"/>
      <c r="F127" s="74">
        <v>27</v>
      </c>
      <c r="G127" s="8"/>
      <c r="H127" s="21"/>
      <c r="J127" s="8"/>
      <c r="K127" s="8"/>
      <c r="L127" s="8">
        <v>5</v>
      </c>
      <c r="M127" s="8" t="str">
        <f t="shared" si="16"/>
        <v>011</v>
      </c>
      <c r="N127" s="8">
        <v>3</v>
      </c>
      <c r="O127" s="8"/>
    </row>
    <row r="128" spans="1:16" x14ac:dyDescent="0.35">
      <c r="A128" s="8"/>
      <c r="B128" s="8"/>
      <c r="C128" s="17"/>
      <c r="D128" s="75" t="str">
        <f t="shared" si="13"/>
        <v>011100</v>
      </c>
      <c r="E128" s="8"/>
      <c r="F128" s="74">
        <v>28</v>
      </c>
      <c r="G128" s="8"/>
      <c r="H128" s="21"/>
      <c r="J128" s="8"/>
      <c r="K128" s="8"/>
      <c r="L128" s="8">
        <v>6</v>
      </c>
      <c r="M128" s="8" t="str">
        <f t="shared" si="16"/>
        <v>100</v>
      </c>
      <c r="N128" s="8">
        <v>4</v>
      </c>
      <c r="O128" s="8"/>
    </row>
    <row r="129" spans="1:16" x14ac:dyDescent="0.35">
      <c r="A129" s="8"/>
      <c r="B129" s="8"/>
      <c r="C129" s="17"/>
      <c r="D129" s="75" t="str">
        <f t="shared" si="13"/>
        <v>011101</v>
      </c>
      <c r="E129" s="8"/>
      <c r="F129" s="74">
        <v>29</v>
      </c>
      <c r="G129" s="8"/>
      <c r="H129" s="21"/>
      <c r="J129" s="8"/>
      <c r="K129" s="8"/>
      <c r="L129" s="8">
        <v>8</v>
      </c>
      <c r="M129" s="8" t="str">
        <f t="shared" si="16"/>
        <v>101</v>
      </c>
      <c r="N129" s="8">
        <v>5</v>
      </c>
      <c r="O129" s="8"/>
    </row>
    <row r="130" spans="1:16" x14ac:dyDescent="0.35">
      <c r="A130" s="8"/>
      <c r="B130" s="8"/>
      <c r="C130" s="17"/>
      <c r="D130" s="75" t="str">
        <f t="shared" si="13"/>
        <v>011110</v>
      </c>
      <c r="E130" s="8"/>
      <c r="F130" s="74">
        <v>30</v>
      </c>
      <c r="G130" s="8"/>
      <c r="H130" s="21"/>
      <c r="J130" s="8"/>
      <c r="K130" s="8" t="s">
        <v>727</v>
      </c>
      <c r="L130" s="8" t="s">
        <v>672</v>
      </c>
      <c r="M130" s="8" t="str">
        <f t="shared" ref="M130:M147" si="17">DEC2BIN(N130,1)</f>
        <v>0</v>
      </c>
      <c r="N130" s="8">
        <v>0</v>
      </c>
      <c r="O130" s="8"/>
    </row>
    <row r="131" spans="1:16" x14ac:dyDescent="0.35">
      <c r="A131" s="8"/>
      <c r="B131" s="8"/>
      <c r="C131" s="17"/>
      <c r="D131" s="75" t="str">
        <f t="shared" si="13"/>
        <v>011111</v>
      </c>
      <c r="E131" s="8"/>
      <c r="F131" s="74">
        <v>31</v>
      </c>
      <c r="G131" s="8"/>
      <c r="H131" s="21"/>
      <c r="J131" s="8"/>
      <c r="K131" s="8"/>
      <c r="L131" s="8" t="s">
        <v>673</v>
      </c>
      <c r="M131" s="8" t="str">
        <f t="shared" si="17"/>
        <v>1</v>
      </c>
      <c r="N131" s="8">
        <v>1</v>
      </c>
      <c r="O131" s="8"/>
    </row>
    <row r="132" spans="1:16" x14ac:dyDescent="0.35">
      <c r="A132" s="8"/>
      <c r="B132" s="8"/>
      <c r="C132" s="17"/>
      <c r="D132" s="75" t="str">
        <f t="shared" si="13"/>
        <v>100000</v>
      </c>
      <c r="E132" s="8"/>
      <c r="F132" s="74">
        <v>32</v>
      </c>
      <c r="G132" s="8"/>
      <c r="H132" s="21"/>
      <c r="J132" s="8"/>
      <c r="K132" s="8" t="s">
        <v>728</v>
      </c>
      <c r="L132" s="8" t="s">
        <v>672</v>
      </c>
      <c r="M132" s="8" t="str">
        <f t="shared" si="17"/>
        <v>0</v>
      </c>
      <c r="N132" s="8">
        <v>0</v>
      </c>
      <c r="O132" s="8"/>
    </row>
    <row r="133" spans="1:16" x14ac:dyDescent="0.35">
      <c r="A133" s="8"/>
      <c r="B133" s="8"/>
      <c r="C133" s="17"/>
      <c r="D133" s="75" t="str">
        <f t="shared" si="13"/>
        <v>100001</v>
      </c>
      <c r="E133" s="8"/>
      <c r="F133" s="74">
        <v>33</v>
      </c>
      <c r="G133" s="8"/>
      <c r="H133" s="21"/>
      <c r="J133" s="8"/>
      <c r="K133" s="8"/>
      <c r="L133" s="8" t="s">
        <v>673</v>
      </c>
      <c r="M133" s="8" t="str">
        <f t="shared" si="17"/>
        <v>1</v>
      </c>
      <c r="N133" s="8">
        <v>1</v>
      </c>
      <c r="O133" s="8"/>
    </row>
    <row r="134" spans="1:16" ht="29" x14ac:dyDescent="0.35">
      <c r="A134" s="8"/>
      <c r="B134" s="8"/>
      <c r="C134" s="17"/>
      <c r="D134" s="75" t="str">
        <f t="shared" si="13"/>
        <v>100010</v>
      </c>
      <c r="E134" s="8"/>
      <c r="F134" s="74">
        <v>34</v>
      </c>
      <c r="G134" s="8"/>
      <c r="H134" s="21"/>
      <c r="J134" s="8"/>
      <c r="K134" s="17" t="s">
        <v>729</v>
      </c>
      <c r="L134" s="8" t="s">
        <v>672</v>
      </c>
      <c r="M134" s="8" t="str">
        <f t="shared" si="17"/>
        <v>0</v>
      </c>
      <c r="N134" s="8">
        <v>0</v>
      </c>
      <c r="O134" s="8"/>
    </row>
    <row r="135" spans="1:16" x14ac:dyDescent="0.35">
      <c r="A135" s="8"/>
      <c r="B135" s="8"/>
      <c r="C135" s="17"/>
      <c r="D135" s="75" t="str">
        <f t="shared" si="13"/>
        <v>100011</v>
      </c>
      <c r="E135" s="8"/>
      <c r="F135" s="74">
        <v>35</v>
      </c>
      <c r="G135" s="8"/>
      <c r="H135" s="21"/>
      <c r="J135" s="8"/>
      <c r="K135" s="8"/>
      <c r="L135" s="8" t="s">
        <v>673</v>
      </c>
      <c r="M135" s="8" t="str">
        <f t="shared" si="17"/>
        <v>1</v>
      </c>
      <c r="N135" s="8">
        <v>1</v>
      </c>
      <c r="O135" s="8"/>
    </row>
    <row r="136" spans="1:16" ht="29" x14ac:dyDescent="0.35">
      <c r="A136" s="8"/>
      <c r="B136" s="8"/>
      <c r="C136" s="17"/>
      <c r="D136" s="75" t="str">
        <f t="shared" si="13"/>
        <v>100100</v>
      </c>
      <c r="E136" s="8"/>
      <c r="F136" s="74">
        <v>36</v>
      </c>
      <c r="G136" s="8"/>
      <c r="H136" s="21"/>
      <c r="J136" s="8"/>
      <c r="K136" s="17" t="s">
        <v>735</v>
      </c>
      <c r="L136" s="8" t="s">
        <v>736</v>
      </c>
      <c r="M136" s="8" t="str">
        <f t="shared" si="17"/>
        <v>1</v>
      </c>
      <c r="N136" s="8">
        <v>1</v>
      </c>
      <c r="O136" s="8"/>
    </row>
    <row r="137" spans="1:16" x14ac:dyDescent="0.35">
      <c r="A137" s="8"/>
      <c r="B137" s="8"/>
      <c r="C137" s="17"/>
      <c r="D137" s="75" t="str">
        <f t="shared" si="13"/>
        <v>100101</v>
      </c>
      <c r="E137" s="8"/>
      <c r="F137" s="74">
        <v>37</v>
      </c>
      <c r="G137" s="8"/>
      <c r="H137" s="21"/>
      <c r="J137" s="8"/>
      <c r="K137" s="8"/>
      <c r="L137" s="8" t="s">
        <v>657</v>
      </c>
      <c r="M137" s="8" t="str">
        <f t="shared" si="17"/>
        <v>0</v>
      </c>
      <c r="N137" s="8">
        <v>0</v>
      </c>
      <c r="O137" s="8"/>
    </row>
    <row r="138" spans="1:16" x14ac:dyDescent="0.35">
      <c r="A138" s="8"/>
      <c r="B138" s="8"/>
      <c r="C138" s="17"/>
      <c r="D138" s="75" t="str">
        <f t="shared" si="13"/>
        <v>100110</v>
      </c>
      <c r="E138" s="8"/>
      <c r="F138" s="74">
        <v>38</v>
      </c>
      <c r="G138" s="8"/>
      <c r="H138" s="21"/>
      <c r="J138" s="8"/>
      <c r="K138" s="17" t="s">
        <v>734</v>
      </c>
      <c r="L138" s="8" t="s">
        <v>672</v>
      </c>
      <c r="M138" s="8" t="str">
        <f t="shared" si="17"/>
        <v>0</v>
      </c>
      <c r="N138" s="8">
        <v>0</v>
      </c>
      <c r="O138" s="8"/>
    </row>
    <row r="139" spans="1:16" x14ac:dyDescent="0.35">
      <c r="A139" s="8"/>
      <c r="B139" s="8"/>
      <c r="C139" s="17"/>
      <c r="D139" s="75" t="str">
        <f t="shared" si="13"/>
        <v>100111</v>
      </c>
      <c r="E139" s="8"/>
      <c r="F139" s="74">
        <v>39</v>
      </c>
      <c r="G139" s="8"/>
      <c r="H139" s="21"/>
      <c r="J139" s="8"/>
      <c r="K139" s="8"/>
      <c r="L139" s="8" t="s">
        <v>673</v>
      </c>
      <c r="M139" s="8" t="str">
        <f t="shared" si="17"/>
        <v>1</v>
      </c>
      <c r="N139" s="8">
        <v>1</v>
      </c>
      <c r="O139" s="8"/>
    </row>
    <row r="140" spans="1:16" x14ac:dyDescent="0.35">
      <c r="A140" s="8"/>
      <c r="B140" s="8"/>
      <c r="C140" s="17"/>
      <c r="D140" s="75" t="str">
        <f t="shared" si="13"/>
        <v>101000</v>
      </c>
      <c r="E140" s="8"/>
      <c r="F140" s="74">
        <v>40</v>
      </c>
      <c r="G140" s="8"/>
      <c r="H140" s="21"/>
      <c r="J140" s="80" t="s">
        <v>637</v>
      </c>
      <c r="K140" s="8" t="s">
        <v>739</v>
      </c>
      <c r="L140" s="8" t="s">
        <v>672</v>
      </c>
      <c r="M140" s="8" t="str">
        <f t="shared" si="17"/>
        <v>0</v>
      </c>
      <c r="N140" s="8">
        <v>0</v>
      </c>
      <c r="O140" s="91" t="str">
        <f>LOOKUP(DDR4_INIT!D38,LU!L140:L141,LU!M140:M141)</f>
        <v>0</v>
      </c>
      <c r="P140" s="144" t="str">
        <f>O140&amp;O141&amp;O142&amp;O143&amp;O144&amp;O145&amp;O146&amp;O147&amp;O148</f>
        <v>0100001000000</v>
      </c>
    </row>
    <row r="141" spans="1:16" x14ac:dyDescent="0.35">
      <c r="A141" s="8"/>
      <c r="B141" s="8"/>
      <c r="C141" s="17"/>
      <c r="D141" s="75" t="str">
        <f t="shared" si="13"/>
        <v>101001</v>
      </c>
      <c r="E141" s="8"/>
      <c r="F141" s="74">
        <v>41</v>
      </c>
      <c r="G141" s="8"/>
      <c r="H141" s="21"/>
      <c r="J141" s="8"/>
      <c r="K141" s="8"/>
      <c r="L141" s="8" t="s">
        <v>673</v>
      </c>
      <c r="M141" s="8" t="str">
        <f t="shared" si="17"/>
        <v>1</v>
      </c>
      <c r="N141" s="8">
        <v>1</v>
      </c>
      <c r="O141" s="91" t="str">
        <f>LOOKUP(DDR4_INIT!D39,LU!L142:L143,LU!M142:M143)</f>
        <v>1</v>
      </c>
      <c r="P141" s="8" t="str">
        <f>BIN2HEX(MID(P140,1,5),2)</f>
        <v>08</v>
      </c>
    </row>
    <row r="142" spans="1:16" x14ac:dyDescent="0.35">
      <c r="A142" s="8"/>
      <c r="B142" s="8"/>
      <c r="C142" s="17"/>
      <c r="D142" s="75" t="str">
        <f t="shared" si="13"/>
        <v>101010</v>
      </c>
      <c r="E142" s="8"/>
      <c r="F142" s="74">
        <v>42</v>
      </c>
      <c r="G142" s="8"/>
      <c r="H142" s="21"/>
      <c r="J142" s="8"/>
      <c r="K142" s="8" t="s">
        <v>740</v>
      </c>
      <c r="L142" s="8" t="s">
        <v>672</v>
      </c>
      <c r="M142" s="8" t="str">
        <f t="shared" si="17"/>
        <v>0</v>
      </c>
      <c r="N142" s="8">
        <v>0</v>
      </c>
      <c r="O142" s="91" t="str">
        <f>LOOKUP(DDR4_INIT!D40,LU!L144:L145,LU!M144:M145)</f>
        <v>0</v>
      </c>
      <c r="P142" s="8" t="str">
        <f>BIN2HEX(MID(P140,6,8),2)</f>
        <v>40</v>
      </c>
    </row>
    <row r="143" spans="1:16" x14ac:dyDescent="0.35">
      <c r="A143" s="8"/>
      <c r="B143" s="8"/>
      <c r="C143" s="17"/>
      <c r="D143" s="75" t="str">
        <f t="shared" si="13"/>
        <v>101011</v>
      </c>
      <c r="E143" s="8"/>
      <c r="F143" s="74">
        <v>43</v>
      </c>
      <c r="G143" s="8"/>
      <c r="H143" s="21"/>
      <c r="J143" s="8"/>
      <c r="K143" s="8"/>
      <c r="L143" s="8" t="s">
        <v>673</v>
      </c>
      <c r="M143" s="8" t="str">
        <f t="shared" si="17"/>
        <v>1</v>
      </c>
      <c r="N143" s="8">
        <v>1</v>
      </c>
      <c r="O143" s="91" t="str">
        <f>LOOKUP(DDR4_INIT!D41,LU!L146:L147,LU!M146:M147)</f>
        <v>0</v>
      </c>
    </row>
    <row r="144" spans="1:16" x14ac:dyDescent="0.35">
      <c r="A144" s="8"/>
      <c r="B144" s="8"/>
      <c r="C144" s="17"/>
      <c r="D144" s="75" t="str">
        <f t="shared" si="13"/>
        <v>101100</v>
      </c>
      <c r="E144" s="8"/>
      <c r="F144" s="74">
        <v>44</v>
      </c>
      <c r="G144" s="8"/>
      <c r="H144" s="21"/>
      <c r="J144" s="8"/>
      <c r="K144" s="1" t="s">
        <v>741</v>
      </c>
      <c r="L144" s="8" t="s">
        <v>672</v>
      </c>
      <c r="M144" s="8" t="str">
        <f t="shared" si="17"/>
        <v>0</v>
      </c>
      <c r="N144" s="8">
        <v>0</v>
      </c>
      <c r="O144" s="91" t="str">
        <f>LOOKUP(DDR4_INIT!D42,LU!L148:L155,LU!M148:M155)</f>
        <v>001</v>
      </c>
    </row>
    <row r="145" spans="1:15" x14ac:dyDescent="0.35">
      <c r="A145" s="8"/>
      <c r="B145" s="8"/>
      <c r="C145" s="17"/>
      <c r="D145" s="75" t="str">
        <f t="shared" si="13"/>
        <v>101101</v>
      </c>
      <c r="E145" s="8"/>
      <c r="F145" s="74">
        <v>45</v>
      </c>
      <c r="G145" s="8"/>
      <c r="H145" s="21"/>
      <c r="J145" s="8"/>
      <c r="K145" s="8"/>
      <c r="L145" s="8" t="s">
        <v>673</v>
      </c>
      <c r="M145" s="8" t="str">
        <f t="shared" si="17"/>
        <v>1</v>
      </c>
      <c r="N145" s="8">
        <v>1</v>
      </c>
      <c r="O145" s="91" t="str">
        <f>LOOKUP(DDR4_INIT!D43,LU!L156:L157,LU!M156:M157)</f>
        <v>0</v>
      </c>
    </row>
    <row r="146" spans="1:15" x14ac:dyDescent="0.35">
      <c r="A146" s="8"/>
      <c r="B146" s="8"/>
      <c r="C146" s="17"/>
      <c r="D146" s="75" t="str">
        <f t="shared" si="13"/>
        <v>101110</v>
      </c>
      <c r="E146" s="8"/>
      <c r="F146" s="74">
        <v>46</v>
      </c>
      <c r="G146" s="8"/>
      <c r="H146" s="21"/>
      <c r="J146" s="8"/>
      <c r="K146" s="1" t="s">
        <v>742</v>
      </c>
      <c r="L146" s="8" t="s">
        <v>672</v>
      </c>
      <c r="M146" s="8" t="str">
        <f t="shared" si="17"/>
        <v>0</v>
      </c>
      <c r="N146" s="8">
        <v>0</v>
      </c>
      <c r="O146" s="91" t="str">
        <f>LOOKUP(DDR4_INIT!D44,LU!L158:L159,LU!M158:M159)</f>
        <v>0</v>
      </c>
    </row>
    <row r="147" spans="1:15" x14ac:dyDescent="0.35">
      <c r="A147" s="8"/>
      <c r="B147" s="8"/>
      <c r="C147" s="17"/>
      <c r="D147" s="75" t="str">
        <f t="shared" si="13"/>
        <v>101111</v>
      </c>
      <c r="E147" s="8"/>
      <c r="F147" s="74">
        <v>47</v>
      </c>
      <c r="G147" s="8"/>
      <c r="H147" s="21"/>
      <c r="J147" s="8"/>
      <c r="K147" s="8"/>
      <c r="L147" s="8" t="s">
        <v>673</v>
      </c>
      <c r="M147" s="8" t="str">
        <f t="shared" si="17"/>
        <v>1</v>
      </c>
      <c r="N147" s="8">
        <v>1</v>
      </c>
      <c r="O147" s="91" t="str">
        <f>LOOKUP(DDR4_INIT!D45,LU!L160:L161,LU!M160:M161)</f>
        <v>0</v>
      </c>
    </row>
    <row r="148" spans="1:15" x14ac:dyDescent="0.35">
      <c r="A148" s="8"/>
      <c r="B148" s="8"/>
      <c r="C148" s="17"/>
      <c r="D148" s="75" t="str">
        <f t="shared" si="13"/>
        <v>110000</v>
      </c>
      <c r="E148" s="8"/>
      <c r="F148" s="74">
        <v>48</v>
      </c>
      <c r="G148" s="8"/>
      <c r="H148" s="21"/>
      <c r="J148" s="8"/>
      <c r="K148" s="1" t="s">
        <v>743</v>
      </c>
      <c r="L148" s="8" t="s">
        <v>672</v>
      </c>
      <c r="M148" s="8" t="str">
        <f t="shared" ref="M148:M155" si="18">DEC2BIN(N148,3)</f>
        <v>000</v>
      </c>
      <c r="N148" s="8">
        <v>0</v>
      </c>
      <c r="O148" s="91" t="str">
        <f>LOOKUP(DDR4_INIT!D46,LU!L162:L166,LU!M162:M166)</f>
        <v>000</v>
      </c>
    </row>
    <row r="149" spans="1:15" x14ac:dyDescent="0.35">
      <c r="A149" s="8"/>
      <c r="B149" s="8"/>
      <c r="C149" s="17"/>
      <c r="D149" s="75" t="str">
        <f t="shared" si="13"/>
        <v>110001</v>
      </c>
      <c r="E149" s="8"/>
      <c r="F149" s="74">
        <v>49</v>
      </c>
      <c r="G149" s="8"/>
      <c r="H149" s="21"/>
      <c r="J149" s="8"/>
      <c r="K149" s="8"/>
      <c r="L149" s="8" t="s">
        <v>531</v>
      </c>
      <c r="M149" s="8" t="str">
        <f t="shared" si="18"/>
        <v>100</v>
      </c>
      <c r="N149" s="8">
        <v>4</v>
      </c>
      <c r="O149" s="8"/>
    </row>
    <row r="150" spans="1:15" x14ac:dyDescent="0.35">
      <c r="A150" s="8"/>
      <c r="B150" s="8"/>
      <c r="C150" s="17"/>
      <c r="D150" s="75" t="str">
        <f t="shared" si="13"/>
        <v>110010</v>
      </c>
      <c r="E150" s="8"/>
      <c r="F150" s="74">
        <v>50</v>
      </c>
      <c r="G150" s="8"/>
      <c r="H150" s="21"/>
      <c r="J150" s="8"/>
      <c r="K150" s="8"/>
      <c r="L150" s="8" t="s">
        <v>532</v>
      </c>
      <c r="M150" s="8" t="str">
        <f t="shared" si="18"/>
        <v>010</v>
      </c>
      <c r="N150" s="8">
        <v>2</v>
      </c>
      <c r="O150" s="8"/>
    </row>
    <row r="151" spans="1:15" x14ac:dyDescent="0.35">
      <c r="A151" s="80" t="s">
        <v>586</v>
      </c>
      <c r="B151" s="8"/>
      <c r="C151" s="8" t="s">
        <v>587</v>
      </c>
      <c r="D151" s="75"/>
      <c r="E151" s="8"/>
      <c r="F151" s="74"/>
      <c r="G151" s="8" t="str">
        <f>DEC2BIN(LDDR4_INIT!D32,2)</f>
        <v>00</v>
      </c>
      <c r="H151" s="21"/>
      <c r="J151" s="8"/>
      <c r="K151" s="8"/>
      <c r="L151" s="8" t="s">
        <v>533</v>
      </c>
      <c r="M151" s="8" t="str">
        <f t="shared" si="18"/>
        <v>110</v>
      </c>
      <c r="N151" s="8">
        <v>6</v>
      </c>
      <c r="O151" s="8"/>
    </row>
    <row r="152" spans="1:15" ht="29" x14ac:dyDescent="0.35">
      <c r="A152" s="8"/>
      <c r="B152" s="8" t="s">
        <v>588</v>
      </c>
      <c r="C152" s="17" t="s">
        <v>592</v>
      </c>
      <c r="D152" s="75" t="str">
        <f t="shared" ref="D152:D157" si="19">DEC2BIN(F152,1)</f>
        <v>0</v>
      </c>
      <c r="E152" s="8"/>
      <c r="F152" s="74">
        <v>0</v>
      </c>
      <c r="G152" s="8">
        <f>IF(LDDR4_INIT!D33="ODT-CA Disabled",1,0)</f>
        <v>0</v>
      </c>
      <c r="H152" s="21"/>
      <c r="J152" s="8"/>
      <c r="K152" s="8"/>
      <c r="L152" s="8" t="s">
        <v>534</v>
      </c>
      <c r="M152" s="8" t="str">
        <f t="shared" si="18"/>
        <v>001</v>
      </c>
      <c r="N152" s="8">
        <v>1</v>
      </c>
      <c r="O152" s="8"/>
    </row>
    <row r="153" spans="1:15" x14ac:dyDescent="0.35">
      <c r="A153" s="8"/>
      <c r="B153" s="8"/>
      <c r="C153" s="17" t="s">
        <v>593</v>
      </c>
      <c r="D153" s="75" t="str">
        <f t="shared" si="19"/>
        <v>1</v>
      </c>
      <c r="E153" s="8"/>
      <c r="F153" s="74">
        <v>1</v>
      </c>
      <c r="G153" s="8"/>
      <c r="H153" s="21"/>
      <c r="J153" s="8"/>
      <c r="K153" s="8"/>
      <c r="L153" s="8" t="s">
        <v>535</v>
      </c>
      <c r="M153" s="8" t="str">
        <f t="shared" si="18"/>
        <v>101</v>
      </c>
      <c r="N153" s="8">
        <v>5</v>
      </c>
      <c r="O153" s="8"/>
    </row>
    <row r="154" spans="1:15" ht="29" x14ac:dyDescent="0.35">
      <c r="A154" s="8"/>
      <c r="B154" s="8" t="s">
        <v>589</v>
      </c>
      <c r="C154" s="17" t="s">
        <v>594</v>
      </c>
      <c r="D154" s="75" t="str">
        <f t="shared" si="19"/>
        <v>0</v>
      </c>
      <c r="E154" s="8"/>
      <c r="F154" s="74">
        <v>0</v>
      </c>
      <c r="G154" s="8" t="e">
        <f>LOOKUP(LDDR4_INIT!D34,LU!C154:C155,LU!D154:D155)</f>
        <v>#N/A</v>
      </c>
      <c r="H154" s="21"/>
      <c r="J154" s="8"/>
      <c r="K154" s="8"/>
      <c r="L154" s="8" t="s">
        <v>536</v>
      </c>
      <c r="M154" s="8" t="str">
        <f t="shared" si="18"/>
        <v>011</v>
      </c>
      <c r="N154" s="8">
        <v>3</v>
      </c>
      <c r="O154" s="8"/>
    </row>
    <row r="155" spans="1:15" x14ac:dyDescent="0.35">
      <c r="A155" s="8"/>
      <c r="B155" s="8"/>
      <c r="C155" s="17" t="s">
        <v>595</v>
      </c>
      <c r="D155" s="75" t="str">
        <f t="shared" si="19"/>
        <v>1</v>
      </c>
      <c r="E155" s="8"/>
      <c r="F155" s="74">
        <v>1</v>
      </c>
      <c r="G155" s="8"/>
      <c r="H155" s="21"/>
      <c r="J155" s="8"/>
      <c r="K155" s="8"/>
      <c r="L155" s="8" t="s">
        <v>677</v>
      </c>
      <c r="M155" s="8" t="str">
        <f t="shared" si="18"/>
        <v>111</v>
      </c>
      <c r="N155" s="8">
        <v>7</v>
      </c>
      <c r="O155" s="8"/>
    </row>
    <row r="156" spans="1:15" ht="29" x14ac:dyDescent="0.35">
      <c r="A156" s="8"/>
      <c r="B156" s="8" t="s">
        <v>590</v>
      </c>
      <c r="C156" s="17" t="s">
        <v>596</v>
      </c>
      <c r="D156" s="75" t="str">
        <f t="shared" si="19"/>
        <v>0</v>
      </c>
      <c r="E156" s="8"/>
      <c r="F156" s="74">
        <v>0</v>
      </c>
      <c r="G156" s="8" t="e">
        <f>LOOKUP(LDDR4_INIT!D35,LU!C156:C157,LU!D156:D157)</f>
        <v>#N/A</v>
      </c>
      <c r="H156" s="21"/>
      <c r="J156" s="8"/>
      <c r="K156" s="44" t="s">
        <v>744</v>
      </c>
      <c r="L156" s="8" t="s">
        <v>748</v>
      </c>
      <c r="M156" s="8" t="str">
        <f t="shared" ref="M156:M161" si="20">DEC2BIN(N156,1)</f>
        <v>0</v>
      </c>
      <c r="N156" s="8">
        <v>0</v>
      </c>
      <c r="O156" s="8"/>
    </row>
    <row r="157" spans="1:15" x14ac:dyDescent="0.35">
      <c r="A157" s="8"/>
      <c r="B157" s="8"/>
      <c r="C157" s="17" t="s">
        <v>597</v>
      </c>
      <c r="D157" s="75" t="str">
        <f t="shared" si="19"/>
        <v>1</v>
      </c>
      <c r="E157" s="8"/>
      <c r="F157" s="74">
        <v>1</v>
      </c>
      <c r="G157" s="8"/>
      <c r="H157" s="21"/>
      <c r="J157" s="8"/>
      <c r="K157" s="8"/>
      <c r="L157" s="8" t="s">
        <v>749</v>
      </c>
      <c r="M157" s="8" t="str">
        <f t="shared" si="20"/>
        <v>1</v>
      </c>
      <c r="N157" s="8">
        <v>1</v>
      </c>
      <c r="O157" s="8"/>
    </row>
    <row r="158" spans="1:15" x14ac:dyDescent="0.35">
      <c r="A158" s="8"/>
      <c r="B158" s="8" t="s">
        <v>591</v>
      </c>
      <c r="C158" s="17" t="s">
        <v>574</v>
      </c>
      <c r="D158" s="75" t="str">
        <f t="shared" ref="D158:D165" si="21">DEC2BIN(F158,3)</f>
        <v>000</v>
      </c>
      <c r="E158" s="8"/>
      <c r="F158" s="74">
        <v>0</v>
      </c>
      <c r="G158" s="8" t="e">
        <f>IF(LDDR4_INIT!D36="RFU",111,LOOKUP(LDDR4_INIT!D36,LU!C158:C164,LU!D158:D164))</f>
        <v>#N/A</v>
      </c>
      <c r="H158" s="21"/>
      <c r="J158" s="8"/>
      <c r="K158" s="1" t="s">
        <v>745</v>
      </c>
      <c r="L158" s="8" t="s">
        <v>750</v>
      </c>
      <c r="M158" s="8" t="str">
        <f t="shared" si="20"/>
        <v>0</v>
      </c>
      <c r="N158" s="8">
        <v>0</v>
      </c>
      <c r="O158" s="8"/>
    </row>
    <row r="159" spans="1:15" x14ac:dyDescent="0.35">
      <c r="A159" s="8"/>
      <c r="B159" s="8"/>
      <c r="C159" s="17" t="s">
        <v>531</v>
      </c>
      <c r="D159" s="75" t="str">
        <f t="shared" si="21"/>
        <v>001</v>
      </c>
      <c r="E159" s="8"/>
      <c r="F159" s="74">
        <v>1</v>
      </c>
      <c r="G159" s="8"/>
      <c r="H159" s="21"/>
      <c r="J159" s="8"/>
      <c r="K159" s="8"/>
      <c r="L159" s="8" t="s">
        <v>751</v>
      </c>
      <c r="M159" s="8" t="str">
        <f t="shared" si="20"/>
        <v>1</v>
      </c>
      <c r="N159" s="8">
        <v>1</v>
      </c>
      <c r="O159" s="8"/>
    </row>
    <row r="160" spans="1:15" x14ac:dyDescent="0.35">
      <c r="A160" s="8"/>
      <c r="B160" s="8"/>
      <c r="C160" s="17" t="s">
        <v>532</v>
      </c>
      <c r="D160" s="75" t="str">
        <f t="shared" si="21"/>
        <v>010</v>
      </c>
      <c r="E160" s="8"/>
      <c r="F160" s="74">
        <v>2</v>
      </c>
      <c r="G160" s="8"/>
      <c r="H160" s="21"/>
      <c r="J160" s="8"/>
      <c r="K160" s="1" t="s">
        <v>746</v>
      </c>
      <c r="L160" s="8" t="s">
        <v>750</v>
      </c>
      <c r="M160" s="8" t="str">
        <f t="shared" si="20"/>
        <v>0</v>
      </c>
      <c r="N160" s="8">
        <v>0</v>
      </c>
      <c r="O160" s="8"/>
    </row>
    <row r="161" spans="1:16" x14ac:dyDescent="0.35">
      <c r="A161" s="8"/>
      <c r="B161" s="8"/>
      <c r="C161" s="17" t="s">
        <v>533</v>
      </c>
      <c r="D161" s="75" t="str">
        <f t="shared" si="21"/>
        <v>011</v>
      </c>
      <c r="E161" s="8"/>
      <c r="F161" s="74">
        <v>3</v>
      </c>
      <c r="G161" s="8"/>
      <c r="H161" s="21"/>
      <c r="J161" s="8"/>
      <c r="K161" s="8"/>
      <c r="L161" s="8" t="s">
        <v>751</v>
      </c>
      <c r="M161" s="8" t="str">
        <f t="shared" si="20"/>
        <v>1</v>
      </c>
      <c r="N161" s="8">
        <v>1</v>
      </c>
      <c r="O161" s="8"/>
    </row>
    <row r="162" spans="1:16" x14ac:dyDescent="0.35">
      <c r="A162" s="8"/>
      <c r="B162" s="8"/>
      <c r="C162" s="17" t="s">
        <v>534</v>
      </c>
      <c r="D162" s="75" t="str">
        <f t="shared" si="21"/>
        <v>100</v>
      </c>
      <c r="E162" s="8"/>
      <c r="F162" s="74">
        <v>4</v>
      </c>
      <c r="G162" s="8"/>
      <c r="H162" s="21"/>
      <c r="J162" s="8"/>
      <c r="K162" s="1" t="s">
        <v>747</v>
      </c>
      <c r="L162" s="8" t="s">
        <v>672</v>
      </c>
      <c r="M162" s="8" t="str">
        <f t="shared" ref="M162:M171" si="22">DEC2BIN(N162,3)</f>
        <v>000</v>
      </c>
      <c r="N162" s="8">
        <v>0</v>
      </c>
      <c r="O162" s="8"/>
    </row>
    <row r="163" spans="1:16" x14ac:dyDescent="0.35">
      <c r="A163" s="8"/>
      <c r="B163" s="8"/>
      <c r="C163" s="17" t="s">
        <v>535</v>
      </c>
      <c r="D163" s="75" t="str">
        <f t="shared" si="21"/>
        <v>101</v>
      </c>
      <c r="E163" s="8"/>
      <c r="F163" s="74">
        <v>5</v>
      </c>
      <c r="G163" s="8"/>
      <c r="H163" s="21"/>
      <c r="J163" s="8"/>
      <c r="K163" s="8"/>
      <c r="L163" s="8">
        <v>4</v>
      </c>
      <c r="M163" s="8" t="str">
        <f t="shared" si="22"/>
        <v>001</v>
      </c>
      <c r="N163" s="8">
        <v>1</v>
      </c>
      <c r="O163" s="8"/>
    </row>
    <row r="164" spans="1:16" x14ac:dyDescent="0.35">
      <c r="A164" s="8"/>
      <c r="B164" s="8"/>
      <c r="C164" s="17" t="s">
        <v>536</v>
      </c>
      <c r="D164" s="75" t="str">
        <f t="shared" si="21"/>
        <v>110</v>
      </c>
      <c r="E164" s="8"/>
      <c r="F164" s="74">
        <v>6</v>
      </c>
      <c r="G164" s="8"/>
      <c r="H164" s="21"/>
      <c r="J164" s="8"/>
      <c r="K164" s="8"/>
      <c r="L164" s="8">
        <v>5</v>
      </c>
      <c r="M164" s="8" t="str">
        <f t="shared" si="22"/>
        <v>010</v>
      </c>
      <c r="N164" s="8">
        <v>2</v>
      </c>
      <c r="O164" s="8"/>
    </row>
    <row r="165" spans="1:16" x14ac:dyDescent="0.35">
      <c r="A165" s="8"/>
      <c r="B165" s="8"/>
      <c r="C165" s="17" t="s">
        <v>530</v>
      </c>
      <c r="D165" s="75" t="str">
        <f t="shared" si="21"/>
        <v>111</v>
      </c>
      <c r="E165" s="8"/>
      <c r="F165" s="74">
        <v>7</v>
      </c>
      <c r="G165" s="8"/>
      <c r="H165" s="21"/>
      <c r="J165" s="8"/>
      <c r="K165" s="8"/>
      <c r="L165" s="8">
        <v>6</v>
      </c>
      <c r="M165" s="8" t="str">
        <f t="shared" si="22"/>
        <v>011</v>
      </c>
      <c r="N165" s="8">
        <v>3</v>
      </c>
      <c r="O165" s="8"/>
    </row>
    <row r="166" spans="1:16" x14ac:dyDescent="0.35">
      <c r="A166" s="80" t="s">
        <v>598</v>
      </c>
      <c r="B166" s="8" t="s">
        <v>599</v>
      </c>
      <c r="C166" s="17" t="s">
        <v>601</v>
      </c>
      <c r="D166" s="75" t="str">
        <f>DEC2BIN(F166,1)</f>
        <v>0</v>
      </c>
      <c r="E166" s="8"/>
      <c r="F166" s="74">
        <v>0</v>
      </c>
      <c r="G166" s="8" t="e">
        <f>LOOKUP(LDDR4_INIT!D37,LU!C166:C167,LU!D166:D167)</f>
        <v>#N/A</v>
      </c>
      <c r="H166" s="21"/>
      <c r="J166" s="8"/>
      <c r="K166" s="8"/>
      <c r="L166" s="8">
        <v>8</v>
      </c>
      <c r="M166" s="8" t="str">
        <f t="shared" si="22"/>
        <v>100</v>
      </c>
      <c r="N166" s="8">
        <v>4</v>
      </c>
      <c r="O166" s="8"/>
    </row>
    <row r="167" spans="1:16" ht="29" x14ac:dyDescent="0.35">
      <c r="A167" s="8"/>
      <c r="B167" s="8"/>
      <c r="C167" s="17" t="s">
        <v>602</v>
      </c>
      <c r="D167" s="75" t="str">
        <f>DEC2BIN(F167,1)</f>
        <v>1</v>
      </c>
      <c r="E167" s="8"/>
      <c r="F167" s="74">
        <v>1</v>
      </c>
      <c r="G167" s="8"/>
      <c r="H167" s="21"/>
      <c r="J167" s="80" t="s">
        <v>636</v>
      </c>
      <c r="K167" s="8" t="s">
        <v>424</v>
      </c>
      <c r="L167" s="8">
        <v>4</v>
      </c>
      <c r="M167" s="8" t="str">
        <f t="shared" si="22"/>
        <v>000</v>
      </c>
      <c r="N167" s="8">
        <v>0</v>
      </c>
      <c r="O167" s="91" t="str">
        <f>LOOKUP(DDR4_INIT!D47,LU!L167:L171,LU!M167:M171)</f>
        <v>011</v>
      </c>
      <c r="P167" s="144" t="str">
        <f>0&amp;0&amp;0&amp;O167&amp;0&amp;0&amp;O168&amp;O169&amp;O170</f>
        <v>0000110000011000</v>
      </c>
    </row>
    <row r="168" spans="1:16" x14ac:dyDescent="0.35">
      <c r="A168" s="8"/>
      <c r="B168" s="8" t="s">
        <v>600</v>
      </c>
      <c r="C168" s="8"/>
      <c r="D168" s="75" t="str">
        <f>DEC2BIN(F168,6)</f>
        <v>000000</v>
      </c>
      <c r="E168" s="8"/>
      <c r="F168" s="74">
        <v>0</v>
      </c>
      <c r="G168" s="8" t="e">
        <f>LOOKUP(LDDR4_INIT!D38,LU!D168:D218,LU!D100:D150)</f>
        <v>#N/A</v>
      </c>
      <c r="H168" s="21"/>
      <c r="J168" s="8"/>
      <c r="K168" s="8"/>
      <c r="L168" s="8">
        <v>5</v>
      </c>
      <c r="M168" s="8" t="str">
        <f t="shared" si="22"/>
        <v>001</v>
      </c>
      <c r="N168" s="8">
        <v>1</v>
      </c>
      <c r="O168" s="91" t="str">
        <f>LOOKUP(DDR4_INIT!D48,LU!L172:L173,LU!M172:M173)</f>
        <v>0</v>
      </c>
      <c r="P168" s="8" t="str">
        <f>BIN2HEX(MID(P167,1,8),2)</f>
        <v>0C</v>
      </c>
    </row>
    <row r="169" spans="1:16" x14ac:dyDescent="0.35">
      <c r="A169" s="8"/>
      <c r="B169" s="8"/>
      <c r="C169" s="8"/>
      <c r="D169" s="75" t="str">
        <f t="shared" ref="D169:D218" si="23">DEC2BIN(F169,6)</f>
        <v>000001</v>
      </c>
      <c r="E169" s="8"/>
      <c r="F169" s="74">
        <v>1</v>
      </c>
      <c r="G169" s="8"/>
      <c r="H169" s="21"/>
      <c r="J169" s="8"/>
      <c r="K169" s="8"/>
      <c r="L169" s="8">
        <v>6</v>
      </c>
      <c r="M169" s="8" t="str">
        <f t="shared" si="22"/>
        <v>010</v>
      </c>
      <c r="N169" s="8">
        <v>2</v>
      </c>
      <c r="O169" s="91" t="str">
        <f>LOOKUP(DDR4_INIT!D49,LU!L174:L175,LU!M174:M175)</f>
        <v>0</v>
      </c>
      <c r="P169" s="8" t="str">
        <f>BIN2HEX(MID(P167,9,8),2)</f>
        <v>18</v>
      </c>
    </row>
    <row r="170" spans="1:16" x14ac:dyDescent="0.35">
      <c r="A170" s="8"/>
      <c r="B170" s="8"/>
      <c r="C170" s="8"/>
      <c r="D170" s="75" t="str">
        <f t="shared" si="23"/>
        <v>000010</v>
      </c>
      <c r="E170" s="8"/>
      <c r="F170" s="74">
        <v>2</v>
      </c>
      <c r="G170" s="8"/>
      <c r="H170" s="21"/>
      <c r="J170" s="8"/>
      <c r="K170" s="8"/>
      <c r="L170" s="8">
        <v>7</v>
      </c>
      <c r="M170" s="8" t="str">
        <f t="shared" si="22"/>
        <v>011</v>
      </c>
      <c r="N170" s="8">
        <v>3</v>
      </c>
      <c r="O170" s="91" t="str">
        <f>LOOKUP(DDR4_INIT!D50,LU!L176:L226,LU!L176:L226)</f>
        <v>011000</v>
      </c>
      <c r="P170"/>
    </row>
    <row r="171" spans="1:16" x14ac:dyDescent="0.35">
      <c r="A171" s="8"/>
      <c r="B171" s="8"/>
      <c r="C171" s="8"/>
      <c r="D171" s="75" t="str">
        <f t="shared" si="23"/>
        <v>000011</v>
      </c>
      <c r="E171" s="8"/>
      <c r="F171" s="74">
        <v>3</v>
      </c>
      <c r="G171" s="8"/>
      <c r="H171" s="21"/>
      <c r="J171" s="8"/>
      <c r="K171" s="8"/>
      <c r="L171" s="8">
        <v>8</v>
      </c>
      <c r="M171" s="8" t="str">
        <f t="shared" si="22"/>
        <v>100</v>
      </c>
      <c r="N171" s="8">
        <v>4</v>
      </c>
      <c r="O171" s="8"/>
    </row>
    <row r="172" spans="1:16" x14ac:dyDescent="0.35">
      <c r="A172" s="8"/>
      <c r="B172" s="8"/>
      <c r="C172" s="8"/>
      <c r="D172" s="75" t="str">
        <f t="shared" si="23"/>
        <v>000100</v>
      </c>
      <c r="E172" s="8"/>
      <c r="F172" s="74">
        <v>4</v>
      </c>
      <c r="G172" s="8"/>
      <c r="H172" s="21"/>
      <c r="J172" s="8"/>
      <c r="K172" s="8" t="s">
        <v>752</v>
      </c>
      <c r="L172" s="8" t="s">
        <v>755</v>
      </c>
      <c r="M172" s="8" t="str">
        <f>DEC2BIN(N172,1)</f>
        <v>0</v>
      </c>
      <c r="N172" s="8">
        <v>0</v>
      </c>
      <c r="O172" s="8"/>
    </row>
    <row r="173" spans="1:16" x14ac:dyDescent="0.35">
      <c r="A173" s="8"/>
      <c r="B173" s="8"/>
      <c r="C173" s="8"/>
      <c r="D173" s="75" t="str">
        <f t="shared" si="23"/>
        <v>000101</v>
      </c>
      <c r="E173" s="8"/>
      <c r="F173" s="74">
        <v>5</v>
      </c>
      <c r="G173" s="8"/>
      <c r="H173" s="21"/>
      <c r="J173" s="8"/>
      <c r="K173" s="8"/>
      <c r="L173" s="8" t="s">
        <v>756</v>
      </c>
      <c r="M173" s="8" t="str">
        <f>DEC2BIN(N173,1)</f>
        <v>1</v>
      </c>
      <c r="N173" s="8">
        <v>1</v>
      </c>
      <c r="O173" s="8"/>
    </row>
    <row r="174" spans="1:16" x14ac:dyDescent="0.35">
      <c r="A174" s="8"/>
      <c r="B174" s="8"/>
      <c r="C174" s="8"/>
      <c r="D174" s="75" t="str">
        <f t="shared" si="23"/>
        <v>000110</v>
      </c>
      <c r="E174" s="8"/>
      <c r="F174" s="74">
        <v>6</v>
      </c>
      <c r="G174" s="8"/>
      <c r="H174" s="21"/>
      <c r="J174" s="8"/>
      <c r="K174" s="8" t="s">
        <v>753</v>
      </c>
      <c r="L174" s="8" t="s">
        <v>757</v>
      </c>
      <c r="M174" s="8" t="str">
        <f>DEC2BIN(N174,1)</f>
        <v>0</v>
      </c>
      <c r="N174" s="8">
        <v>0</v>
      </c>
      <c r="O174" s="8"/>
    </row>
    <row r="175" spans="1:16" x14ac:dyDescent="0.35">
      <c r="A175" s="8"/>
      <c r="B175" s="8"/>
      <c r="C175" s="8"/>
      <c r="D175" s="75" t="str">
        <f t="shared" si="23"/>
        <v>000111</v>
      </c>
      <c r="E175" s="8"/>
      <c r="F175" s="74">
        <v>7</v>
      </c>
      <c r="G175" s="8"/>
      <c r="H175" s="21"/>
      <c r="J175" s="8"/>
      <c r="K175" s="8"/>
      <c r="L175" s="8" t="s">
        <v>758</v>
      </c>
      <c r="M175" s="8" t="str">
        <f>DEC2BIN(N175,1)</f>
        <v>1</v>
      </c>
      <c r="N175" s="8">
        <v>1</v>
      </c>
      <c r="O175" s="8"/>
    </row>
    <row r="176" spans="1:16" x14ac:dyDescent="0.35">
      <c r="A176" s="8"/>
      <c r="B176" s="8"/>
      <c r="C176" s="8"/>
      <c r="D176" s="75" t="str">
        <f t="shared" si="23"/>
        <v>001000</v>
      </c>
      <c r="E176" s="8"/>
      <c r="F176" s="74">
        <v>8</v>
      </c>
      <c r="G176" s="8"/>
      <c r="H176" s="21"/>
      <c r="J176" s="8"/>
      <c r="K176" s="8" t="s">
        <v>754</v>
      </c>
      <c r="L176" s="75" t="str">
        <f t="shared" ref="L176:L207" si="24">DEC2BIN(N176,6)</f>
        <v>000000</v>
      </c>
      <c r="M176" s="8"/>
      <c r="N176" s="74">
        <v>0</v>
      </c>
      <c r="O176" s="8"/>
    </row>
    <row r="177" spans="1:15" x14ac:dyDescent="0.35">
      <c r="A177" s="8"/>
      <c r="B177" s="8"/>
      <c r="C177" s="8"/>
      <c r="D177" s="75" t="str">
        <f t="shared" si="23"/>
        <v>001001</v>
      </c>
      <c r="E177" s="8"/>
      <c r="F177" s="74">
        <v>9</v>
      </c>
      <c r="G177" s="8"/>
      <c r="H177" s="21"/>
      <c r="J177" s="8"/>
      <c r="K177" s="8"/>
      <c r="L177" s="75" t="str">
        <f t="shared" si="24"/>
        <v>000001</v>
      </c>
      <c r="M177" s="8"/>
      <c r="N177" s="74">
        <v>1</v>
      </c>
      <c r="O177" s="8"/>
    </row>
    <row r="178" spans="1:15" x14ac:dyDescent="0.35">
      <c r="A178" s="8"/>
      <c r="B178" s="8"/>
      <c r="C178" s="8"/>
      <c r="D178" s="75" t="str">
        <f t="shared" si="23"/>
        <v>001010</v>
      </c>
      <c r="E178" s="8"/>
      <c r="F178" s="74">
        <v>10</v>
      </c>
      <c r="G178" s="8"/>
      <c r="H178" s="21"/>
      <c r="J178" s="8"/>
      <c r="K178" s="8"/>
      <c r="L178" s="75" t="str">
        <f t="shared" si="24"/>
        <v>000010</v>
      </c>
      <c r="M178" s="8"/>
      <c r="N178" s="74">
        <v>2</v>
      </c>
      <c r="O178" s="8"/>
    </row>
    <row r="179" spans="1:15" x14ac:dyDescent="0.35">
      <c r="A179" s="8"/>
      <c r="B179" s="8"/>
      <c r="C179" s="8"/>
      <c r="D179" s="75" t="str">
        <f t="shared" si="23"/>
        <v>001011</v>
      </c>
      <c r="E179" s="8"/>
      <c r="F179" s="74">
        <v>11</v>
      </c>
      <c r="G179" s="8"/>
      <c r="H179" s="21"/>
      <c r="J179" s="8"/>
      <c r="K179" s="8"/>
      <c r="L179" s="75" t="str">
        <f t="shared" si="24"/>
        <v>000011</v>
      </c>
      <c r="M179" s="8"/>
      <c r="N179" s="74">
        <v>3</v>
      </c>
      <c r="O179" s="8"/>
    </row>
    <row r="180" spans="1:15" x14ac:dyDescent="0.35">
      <c r="A180" s="8"/>
      <c r="B180" s="8"/>
      <c r="C180" s="8"/>
      <c r="D180" s="75" t="str">
        <f t="shared" si="23"/>
        <v>001100</v>
      </c>
      <c r="E180" s="8"/>
      <c r="F180" s="74">
        <v>12</v>
      </c>
      <c r="G180" s="8"/>
      <c r="H180" s="21"/>
      <c r="J180" s="8"/>
      <c r="K180" s="8"/>
      <c r="L180" s="75" t="str">
        <f t="shared" si="24"/>
        <v>000100</v>
      </c>
      <c r="M180" s="8"/>
      <c r="N180" s="74">
        <v>4</v>
      </c>
      <c r="O180" s="8"/>
    </row>
    <row r="181" spans="1:15" x14ac:dyDescent="0.35">
      <c r="A181" s="8"/>
      <c r="B181" s="8"/>
      <c r="C181" s="8"/>
      <c r="D181" s="75" t="str">
        <f t="shared" si="23"/>
        <v>001101</v>
      </c>
      <c r="E181" s="8"/>
      <c r="F181" s="74">
        <v>13</v>
      </c>
      <c r="G181" s="8"/>
      <c r="H181" s="21"/>
      <c r="J181" s="8"/>
      <c r="K181" s="8"/>
      <c r="L181" s="75" t="str">
        <f t="shared" si="24"/>
        <v>000101</v>
      </c>
      <c r="M181" s="8"/>
      <c r="N181" s="74">
        <v>5</v>
      </c>
      <c r="O181" s="8"/>
    </row>
    <row r="182" spans="1:15" x14ac:dyDescent="0.35">
      <c r="A182" s="8"/>
      <c r="B182" s="8"/>
      <c r="C182" s="8"/>
      <c r="D182" s="75" t="str">
        <f t="shared" si="23"/>
        <v>001110</v>
      </c>
      <c r="E182" s="8"/>
      <c r="F182" s="74">
        <v>14</v>
      </c>
      <c r="G182" s="8"/>
      <c r="H182" s="21"/>
      <c r="J182" s="8"/>
      <c r="K182" s="8"/>
      <c r="L182" s="75" t="str">
        <f t="shared" si="24"/>
        <v>000110</v>
      </c>
      <c r="M182" s="8"/>
      <c r="N182" s="74">
        <v>6</v>
      </c>
      <c r="O182" s="8"/>
    </row>
    <row r="183" spans="1:15" x14ac:dyDescent="0.35">
      <c r="A183" s="8"/>
      <c r="B183" s="8"/>
      <c r="C183" s="8"/>
      <c r="D183" s="75" t="str">
        <f t="shared" si="23"/>
        <v>001111</v>
      </c>
      <c r="E183" s="8"/>
      <c r="F183" s="74">
        <v>15</v>
      </c>
      <c r="G183" s="8"/>
      <c r="H183" s="21"/>
      <c r="J183" s="8"/>
      <c r="K183" s="8"/>
      <c r="L183" s="75" t="str">
        <f t="shared" si="24"/>
        <v>000111</v>
      </c>
      <c r="M183" s="8"/>
      <c r="N183" s="74">
        <v>7</v>
      </c>
      <c r="O183" s="8"/>
    </row>
    <row r="184" spans="1:15" x14ac:dyDescent="0.35">
      <c r="A184" s="8"/>
      <c r="B184" s="8"/>
      <c r="C184" s="8"/>
      <c r="D184" s="75" t="str">
        <f t="shared" si="23"/>
        <v>010000</v>
      </c>
      <c r="E184" s="8"/>
      <c r="F184" s="74">
        <v>16</v>
      </c>
      <c r="G184" s="8"/>
      <c r="H184" s="21"/>
      <c r="J184" s="8"/>
      <c r="K184" s="8"/>
      <c r="L184" s="75" t="str">
        <f t="shared" si="24"/>
        <v>001000</v>
      </c>
      <c r="M184" s="8"/>
      <c r="N184" s="74">
        <v>8</v>
      </c>
      <c r="O184" s="8"/>
    </row>
    <row r="185" spans="1:15" x14ac:dyDescent="0.35">
      <c r="A185" s="8"/>
      <c r="B185" s="8"/>
      <c r="C185" s="8"/>
      <c r="D185" s="75" t="str">
        <f t="shared" si="23"/>
        <v>010001</v>
      </c>
      <c r="E185" s="8"/>
      <c r="F185" s="74">
        <v>17</v>
      </c>
      <c r="G185" s="8"/>
      <c r="H185" s="21"/>
      <c r="J185" s="8"/>
      <c r="K185" s="8"/>
      <c r="L185" s="75" t="str">
        <f t="shared" si="24"/>
        <v>001001</v>
      </c>
      <c r="M185" s="8"/>
      <c r="N185" s="74">
        <v>9</v>
      </c>
      <c r="O185" s="8"/>
    </row>
    <row r="186" spans="1:15" x14ac:dyDescent="0.35">
      <c r="A186" s="8"/>
      <c r="B186" s="8"/>
      <c r="C186" s="8"/>
      <c r="D186" s="75" t="str">
        <f t="shared" si="23"/>
        <v>010010</v>
      </c>
      <c r="E186" s="8"/>
      <c r="F186" s="74">
        <v>18</v>
      </c>
      <c r="G186" s="8"/>
      <c r="H186" s="21"/>
      <c r="J186" s="8"/>
      <c r="K186" s="8"/>
      <c r="L186" s="75" t="str">
        <f t="shared" si="24"/>
        <v>001010</v>
      </c>
      <c r="M186" s="8"/>
      <c r="N186" s="74">
        <v>10</v>
      </c>
      <c r="O186" s="8"/>
    </row>
    <row r="187" spans="1:15" x14ac:dyDescent="0.35">
      <c r="A187" s="8"/>
      <c r="B187" s="8"/>
      <c r="C187" s="8"/>
      <c r="D187" s="75" t="str">
        <f t="shared" si="23"/>
        <v>010011</v>
      </c>
      <c r="E187" s="8"/>
      <c r="F187" s="74">
        <v>19</v>
      </c>
      <c r="G187" s="8"/>
      <c r="H187" s="21"/>
      <c r="J187" s="8"/>
      <c r="K187" s="8"/>
      <c r="L187" s="75" t="str">
        <f t="shared" si="24"/>
        <v>001011</v>
      </c>
      <c r="M187" s="8"/>
      <c r="N187" s="74">
        <v>11</v>
      </c>
      <c r="O187" s="8"/>
    </row>
    <row r="188" spans="1:15" x14ac:dyDescent="0.35">
      <c r="A188" s="8"/>
      <c r="B188" s="8"/>
      <c r="C188" s="8"/>
      <c r="D188" s="75" t="str">
        <f t="shared" si="23"/>
        <v>010100</v>
      </c>
      <c r="E188" s="8"/>
      <c r="F188" s="74">
        <v>20</v>
      </c>
      <c r="G188" s="8"/>
      <c r="H188" s="21"/>
      <c r="J188" s="8"/>
      <c r="K188" s="8"/>
      <c r="L188" s="75" t="str">
        <f t="shared" si="24"/>
        <v>001100</v>
      </c>
      <c r="M188" s="8"/>
      <c r="N188" s="74">
        <v>12</v>
      </c>
      <c r="O188" s="8"/>
    </row>
    <row r="189" spans="1:15" x14ac:dyDescent="0.35">
      <c r="A189" s="8"/>
      <c r="B189" s="8"/>
      <c r="C189" s="8"/>
      <c r="D189" s="75" t="str">
        <f t="shared" si="23"/>
        <v>010101</v>
      </c>
      <c r="E189" s="8"/>
      <c r="F189" s="74">
        <v>21</v>
      </c>
      <c r="G189" s="8"/>
      <c r="H189" s="21"/>
      <c r="J189" s="8"/>
      <c r="K189" s="8"/>
      <c r="L189" s="75" t="str">
        <f t="shared" si="24"/>
        <v>001101</v>
      </c>
      <c r="M189" s="8"/>
      <c r="N189" s="74">
        <v>13</v>
      </c>
      <c r="O189" s="8"/>
    </row>
    <row r="190" spans="1:15" x14ac:dyDescent="0.35">
      <c r="A190" s="8"/>
      <c r="B190" s="8"/>
      <c r="C190" s="8"/>
      <c r="D190" s="75" t="str">
        <f t="shared" si="23"/>
        <v>010110</v>
      </c>
      <c r="E190" s="8"/>
      <c r="F190" s="74">
        <v>22</v>
      </c>
      <c r="G190" s="8"/>
      <c r="H190" s="21"/>
      <c r="J190" s="8"/>
      <c r="K190" s="8"/>
      <c r="L190" s="75" t="str">
        <f t="shared" si="24"/>
        <v>001110</v>
      </c>
      <c r="M190" s="8"/>
      <c r="N190" s="74">
        <v>14</v>
      </c>
      <c r="O190" s="8"/>
    </row>
    <row r="191" spans="1:15" x14ac:dyDescent="0.35">
      <c r="A191" s="8"/>
      <c r="B191" s="8"/>
      <c r="C191" s="8"/>
      <c r="D191" s="75" t="str">
        <f t="shared" si="23"/>
        <v>010111</v>
      </c>
      <c r="E191" s="8"/>
      <c r="F191" s="74">
        <v>23</v>
      </c>
      <c r="G191" s="8"/>
      <c r="H191" s="21"/>
      <c r="J191" s="8"/>
      <c r="K191" s="8"/>
      <c r="L191" s="75" t="str">
        <f t="shared" si="24"/>
        <v>001111</v>
      </c>
      <c r="M191" s="8"/>
      <c r="N191" s="74">
        <v>15</v>
      </c>
      <c r="O191" s="8"/>
    </row>
    <row r="192" spans="1:15" x14ac:dyDescent="0.35">
      <c r="A192" s="8"/>
      <c r="B192" s="8"/>
      <c r="C192" s="8"/>
      <c r="D192" s="75" t="str">
        <f t="shared" si="23"/>
        <v>011000</v>
      </c>
      <c r="E192" s="8"/>
      <c r="F192" s="74">
        <v>24</v>
      </c>
      <c r="G192" s="8"/>
      <c r="H192" s="21"/>
      <c r="J192" s="8"/>
      <c r="K192" s="8"/>
      <c r="L192" s="75" t="str">
        <f t="shared" si="24"/>
        <v>010000</v>
      </c>
      <c r="M192" s="8"/>
      <c r="N192" s="74">
        <v>16</v>
      </c>
      <c r="O192" s="8"/>
    </row>
    <row r="193" spans="1:15" x14ac:dyDescent="0.35">
      <c r="A193" s="8"/>
      <c r="B193" s="8"/>
      <c r="C193" s="8"/>
      <c r="D193" s="75" t="str">
        <f t="shared" si="23"/>
        <v>011001</v>
      </c>
      <c r="E193" s="8"/>
      <c r="F193" s="74">
        <v>25</v>
      </c>
      <c r="G193" s="8"/>
      <c r="H193" s="21"/>
      <c r="J193" s="8"/>
      <c r="K193" s="8"/>
      <c r="L193" s="75" t="str">
        <f t="shared" si="24"/>
        <v>010001</v>
      </c>
      <c r="M193" s="8"/>
      <c r="N193" s="74">
        <v>17</v>
      </c>
      <c r="O193" s="8"/>
    </row>
    <row r="194" spans="1:15" x14ac:dyDescent="0.35">
      <c r="A194" s="8"/>
      <c r="B194" s="8"/>
      <c r="C194" s="8"/>
      <c r="D194" s="75" t="str">
        <f t="shared" si="23"/>
        <v>011010</v>
      </c>
      <c r="E194" s="8"/>
      <c r="F194" s="74">
        <v>26</v>
      </c>
      <c r="G194" s="8"/>
      <c r="H194" s="21"/>
      <c r="J194" s="8"/>
      <c r="K194" s="8"/>
      <c r="L194" s="75" t="str">
        <f t="shared" si="24"/>
        <v>010010</v>
      </c>
      <c r="M194" s="8"/>
      <c r="N194" s="74">
        <v>18</v>
      </c>
      <c r="O194" s="8"/>
    </row>
    <row r="195" spans="1:15" x14ac:dyDescent="0.35">
      <c r="A195" s="8"/>
      <c r="B195" s="8"/>
      <c r="C195" s="8"/>
      <c r="D195" s="75" t="str">
        <f t="shared" si="23"/>
        <v>011011</v>
      </c>
      <c r="E195" s="8"/>
      <c r="F195" s="74">
        <v>27</v>
      </c>
      <c r="G195" s="8"/>
      <c r="H195" s="21"/>
      <c r="J195" s="8"/>
      <c r="K195" s="8"/>
      <c r="L195" s="75" t="str">
        <f t="shared" si="24"/>
        <v>010011</v>
      </c>
      <c r="M195" s="8"/>
      <c r="N195" s="74">
        <v>19</v>
      </c>
      <c r="O195" s="8"/>
    </row>
    <row r="196" spans="1:15" x14ac:dyDescent="0.35">
      <c r="A196" s="8"/>
      <c r="B196" s="8"/>
      <c r="C196" s="8"/>
      <c r="D196" s="75" t="str">
        <f t="shared" si="23"/>
        <v>011100</v>
      </c>
      <c r="E196" s="8"/>
      <c r="F196" s="74">
        <v>28</v>
      </c>
      <c r="G196" s="8"/>
      <c r="H196" s="21"/>
      <c r="J196" s="8"/>
      <c r="K196" s="8"/>
      <c r="L196" s="75" t="str">
        <f t="shared" si="24"/>
        <v>010100</v>
      </c>
      <c r="M196" s="8"/>
      <c r="N196" s="74">
        <v>20</v>
      </c>
      <c r="O196" s="8"/>
    </row>
    <row r="197" spans="1:15" x14ac:dyDescent="0.35">
      <c r="A197" s="8"/>
      <c r="B197" s="8"/>
      <c r="C197" s="8"/>
      <c r="D197" s="75" t="str">
        <f t="shared" si="23"/>
        <v>011101</v>
      </c>
      <c r="E197" s="8"/>
      <c r="F197" s="74">
        <v>29</v>
      </c>
      <c r="G197" s="8"/>
      <c r="H197" s="21"/>
      <c r="J197" s="8"/>
      <c r="K197" s="8"/>
      <c r="L197" s="75" t="str">
        <f t="shared" si="24"/>
        <v>010101</v>
      </c>
      <c r="M197" s="8"/>
      <c r="N197" s="74">
        <v>21</v>
      </c>
      <c r="O197" s="8"/>
    </row>
    <row r="198" spans="1:15" x14ac:dyDescent="0.35">
      <c r="A198" s="8"/>
      <c r="B198" s="8"/>
      <c r="C198" s="8"/>
      <c r="D198" s="75" t="str">
        <f t="shared" si="23"/>
        <v>011110</v>
      </c>
      <c r="E198" s="8"/>
      <c r="F198" s="74">
        <v>30</v>
      </c>
      <c r="G198" s="8"/>
      <c r="H198" s="21"/>
      <c r="J198" s="8"/>
      <c r="K198" s="8"/>
      <c r="L198" s="75" t="str">
        <f t="shared" si="24"/>
        <v>010110</v>
      </c>
      <c r="M198" s="8"/>
      <c r="N198" s="74">
        <v>22</v>
      </c>
      <c r="O198" s="8"/>
    </row>
    <row r="199" spans="1:15" x14ac:dyDescent="0.35">
      <c r="A199" s="8"/>
      <c r="B199" s="8"/>
      <c r="C199" s="8"/>
      <c r="D199" s="75" t="str">
        <f t="shared" si="23"/>
        <v>011111</v>
      </c>
      <c r="E199" s="8"/>
      <c r="F199" s="74">
        <v>31</v>
      </c>
      <c r="G199" s="8"/>
      <c r="H199" s="21"/>
      <c r="J199" s="8"/>
      <c r="K199" s="8"/>
      <c r="L199" s="75" t="str">
        <f t="shared" si="24"/>
        <v>010111</v>
      </c>
      <c r="M199" s="8"/>
      <c r="N199" s="74">
        <v>23</v>
      </c>
      <c r="O199" s="8"/>
    </row>
    <row r="200" spans="1:15" x14ac:dyDescent="0.35">
      <c r="A200" s="8"/>
      <c r="B200" s="8"/>
      <c r="C200" s="8"/>
      <c r="D200" s="75" t="str">
        <f t="shared" si="23"/>
        <v>100000</v>
      </c>
      <c r="E200" s="8"/>
      <c r="F200" s="74">
        <v>32</v>
      </c>
      <c r="G200" s="8"/>
      <c r="H200" s="21"/>
      <c r="J200" s="8"/>
      <c r="K200" s="8"/>
      <c r="L200" s="75" t="str">
        <f t="shared" si="24"/>
        <v>011000</v>
      </c>
      <c r="M200" s="8"/>
      <c r="N200" s="74">
        <v>24</v>
      </c>
      <c r="O200" s="8"/>
    </row>
    <row r="201" spans="1:15" x14ac:dyDescent="0.35">
      <c r="A201" s="8"/>
      <c r="B201" s="8"/>
      <c r="C201" s="8"/>
      <c r="D201" s="75" t="str">
        <f t="shared" si="23"/>
        <v>100001</v>
      </c>
      <c r="E201" s="8"/>
      <c r="F201" s="74">
        <v>33</v>
      </c>
      <c r="G201" s="8"/>
      <c r="H201" s="21"/>
      <c r="J201" s="8"/>
      <c r="K201" s="8"/>
      <c r="L201" s="75" t="str">
        <f t="shared" si="24"/>
        <v>011001</v>
      </c>
      <c r="M201" s="8"/>
      <c r="N201" s="74">
        <v>25</v>
      </c>
      <c r="O201" s="8"/>
    </row>
    <row r="202" spans="1:15" x14ac:dyDescent="0.35">
      <c r="A202" s="8"/>
      <c r="B202" s="8"/>
      <c r="C202" s="8"/>
      <c r="D202" s="75" t="str">
        <f t="shared" si="23"/>
        <v>100010</v>
      </c>
      <c r="E202" s="8"/>
      <c r="F202" s="74">
        <v>34</v>
      </c>
      <c r="G202" s="8"/>
      <c r="H202" s="21"/>
      <c r="J202" s="8"/>
      <c r="K202" s="8"/>
      <c r="L202" s="75" t="str">
        <f t="shared" si="24"/>
        <v>011010</v>
      </c>
      <c r="M202" s="8"/>
      <c r="N202" s="74">
        <v>26</v>
      </c>
      <c r="O202" s="8"/>
    </row>
    <row r="203" spans="1:15" x14ac:dyDescent="0.35">
      <c r="A203" s="8"/>
      <c r="B203" s="8"/>
      <c r="C203" s="8"/>
      <c r="D203" s="75" t="str">
        <f t="shared" si="23"/>
        <v>100011</v>
      </c>
      <c r="E203" s="8"/>
      <c r="F203" s="74">
        <v>35</v>
      </c>
      <c r="G203" s="8"/>
      <c r="H203" s="21"/>
      <c r="J203" s="8"/>
      <c r="K203" s="8"/>
      <c r="L203" s="75" t="str">
        <f t="shared" si="24"/>
        <v>011011</v>
      </c>
      <c r="M203" s="8"/>
      <c r="N203" s="74">
        <v>27</v>
      </c>
      <c r="O203" s="8"/>
    </row>
    <row r="204" spans="1:15" x14ac:dyDescent="0.35">
      <c r="A204" s="8"/>
      <c r="B204" s="8"/>
      <c r="C204" s="8"/>
      <c r="D204" s="75" t="str">
        <f t="shared" si="23"/>
        <v>100100</v>
      </c>
      <c r="E204" s="8"/>
      <c r="F204" s="74">
        <v>36</v>
      </c>
      <c r="G204" s="8"/>
      <c r="H204" s="21"/>
      <c r="J204" s="8"/>
      <c r="K204" s="8"/>
      <c r="L204" s="75" t="str">
        <f t="shared" si="24"/>
        <v>011100</v>
      </c>
      <c r="M204" s="8"/>
      <c r="N204" s="74">
        <v>28</v>
      </c>
      <c r="O204" s="8"/>
    </row>
    <row r="205" spans="1:15" x14ac:dyDescent="0.35">
      <c r="A205" s="8"/>
      <c r="B205" s="8"/>
      <c r="C205" s="8"/>
      <c r="D205" s="75" t="str">
        <f t="shared" si="23"/>
        <v>100101</v>
      </c>
      <c r="E205" s="8"/>
      <c r="F205" s="74">
        <v>37</v>
      </c>
      <c r="G205" s="8"/>
      <c r="H205" s="21"/>
      <c r="J205" s="8"/>
      <c r="K205" s="8"/>
      <c r="L205" s="75" t="str">
        <f t="shared" si="24"/>
        <v>011101</v>
      </c>
      <c r="M205" s="8"/>
      <c r="N205" s="74">
        <v>29</v>
      </c>
      <c r="O205" s="8"/>
    </row>
    <row r="206" spans="1:15" x14ac:dyDescent="0.35">
      <c r="A206" s="8"/>
      <c r="B206" s="8"/>
      <c r="C206" s="8"/>
      <c r="D206" s="75" t="str">
        <f t="shared" si="23"/>
        <v>100110</v>
      </c>
      <c r="E206" s="8"/>
      <c r="F206" s="74">
        <v>38</v>
      </c>
      <c r="G206" s="8"/>
      <c r="H206" s="21"/>
      <c r="J206" s="8"/>
      <c r="K206" s="8"/>
      <c r="L206" s="75" t="str">
        <f t="shared" si="24"/>
        <v>011110</v>
      </c>
      <c r="M206" s="8"/>
      <c r="N206" s="74">
        <v>30</v>
      </c>
      <c r="O206" s="8"/>
    </row>
    <row r="207" spans="1:15" x14ac:dyDescent="0.35">
      <c r="A207" s="8"/>
      <c r="B207" s="8"/>
      <c r="C207" s="8"/>
      <c r="D207" s="75" t="str">
        <f t="shared" si="23"/>
        <v>100111</v>
      </c>
      <c r="E207" s="8"/>
      <c r="F207" s="74">
        <v>39</v>
      </c>
      <c r="G207" s="8"/>
      <c r="H207" s="21"/>
      <c r="J207" s="8"/>
      <c r="K207" s="8"/>
      <c r="L207" s="75" t="str">
        <f t="shared" si="24"/>
        <v>011111</v>
      </c>
      <c r="M207" s="8"/>
      <c r="N207" s="74">
        <v>31</v>
      </c>
      <c r="O207" s="8"/>
    </row>
    <row r="208" spans="1:15" x14ac:dyDescent="0.35">
      <c r="A208" s="8"/>
      <c r="B208" s="8"/>
      <c r="C208" s="8"/>
      <c r="D208" s="75" t="str">
        <f t="shared" si="23"/>
        <v>101000</v>
      </c>
      <c r="E208" s="8"/>
      <c r="F208" s="74">
        <v>40</v>
      </c>
      <c r="G208" s="8"/>
      <c r="H208" s="21"/>
      <c r="J208" s="8"/>
      <c r="K208" s="8"/>
      <c r="L208" s="75" t="str">
        <f t="shared" ref="L208:L226" si="25">DEC2BIN(N208,6)</f>
        <v>100000</v>
      </c>
      <c r="M208" s="8"/>
      <c r="N208" s="74">
        <v>32</v>
      </c>
      <c r="O208" s="8"/>
    </row>
    <row r="209" spans="1:15" x14ac:dyDescent="0.35">
      <c r="A209" s="8"/>
      <c r="B209" s="8"/>
      <c r="C209" s="8"/>
      <c r="D209" s="75" t="str">
        <f t="shared" si="23"/>
        <v>101001</v>
      </c>
      <c r="E209" s="8"/>
      <c r="F209" s="74">
        <v>41</v>
      </c>
      <c r="G209" s="8"/>
      <c r="H209" s="21"/>
      <c r="J209" s="8"/>
      <c r="K209" s="8"/>
      <c r="L209" s="75" t="str">
        <f t="shared" si="25"/>
        <v>100001</v>
      </c>
      <c r="M209" s="8"/>
      <c r="N209" s="74">
        <v>33</v>
      </c>
      <c r="O209" s="8"/>
    </row>
    <row r="210" spans="1:15" x14ac:dyDescent="0.35">
      <c r="A210" s="8"/>
      <c r="B210" s="8"/>
      <c r="C210" s="8"/>
      <c r="D210" s="75" t="str">
        <f t="shared" si="23"/>
        <v>101010</v>
      </c>
      <c r="E210" s="8"/>
      <c r="F210" s="74">
        <v>42</v>
      </c>
      <c r="G210" s="8"/>
      <c r="H210" s="21"/>
      <c r="J210" s="8"/>
      <c r="K210" s="8"/>
      <c r="L210" s="75" t="str">
        <f t="shared" si="25"/>
        <v>100010</v>
      </c>
      <c r="M210" s="8"/>
      <c r="N210" s="74">
        <v>34</v>
      </c>
      <c r="O210" s="8"/>
    </row>
    <row r="211" spans="1:15" x14ac:dyDescent="0.35">
      <c r="A211" s="8"/>
      <c r="B211" s="8"/>
      <c r="C211" s="8"/>
      <c r="D211" s="75" t="str">
        <f t="shared" si="23"/>
        <v>101011</v>
      </c>
      <c r="E211" s="8"/>
      <c r="F211" s="74">
        <v>43</v>
      </c>
      <c r="G211" s="8"/>
      <c r="H211" s="21"/>
      <c r="J211" s="8"/>
      <c r="K211" s="8"/>
      <c r="L211" s="75" t="str">
        <f t="shared" si="25"/>
        <v>100011</v>
      </c>
      <c r="M211" s="8"/>
      <c r="N211" s="74">
        <v>35</v>
      </c>
      <c r="O211" s="8"/>
    </row>
    <row r="212" spans="1:15" x14ac:dyDescent="0.35">
      <c r="A212" s="8"/>
      <c r="B212" s="8"/>
      <c r="C212" s="8"/>
      <c r="D212" s="75" t="str">
        <f t="shared" si="23"/>
        <v>101100</v>
      </c>
      <c r="E212" s="8"/>
      <c r="F212" s="74">
        <v>44</v>
      </c>
      <c r="G212" s="8"/>
      <c r="H212" s="21"/>
      <c r="J212" s="8"/>
      <c r="K212" s="8"/>
      <c r="L212" s="75" t="str">
        <f t="shared" si="25"/>
        <v>100100</v>
      </c>
      <c r="M212" s="8"/>
      <c r="N212" s="74">
        <v>36</v>
      </c>
      <c r="O212" s="8"/>
    </row>
    <row r="213" spans="1:15" x14ac:dyDescent="0.35">
      <c r="A213" s="8"/>
      <c r="B213" s="8"/>
      <c r="C213" s="8"/>
      <c r="D213" s="75" t="str">
        <f t="shared" si="23"/>
        <v>101101</v>
      </c>
      <c r="E213" s="8"/>
      <c r="F213" s="74">
        <v>45</v>
      </c>
      <c r="G213" s="8"/>
      <c r="H213" s="21"/>
      <c r="J213" s="8"/>
      <c r="K213" s="8"/>
      <c r="L213" s="75" t="str">
        <f t="shared" si="25"/>
        <v>100101</v>
      </c>
      <c r="M213" s="8"/>
      <c r="N213" s="74">
        <v>37</v>
      </c>
      <c r="O213" s="8"/>
    </row>
    <row r="214" spans="1:15" x14ac:dyDescent="0.35">
      <c r="A214" s="8"/>
      <c r="B214" s="8"/>
      <c r="C214" s="8"/>
      <c r="D214" s="75" t="str">
        <f t="shared" si="23"/>
        <v>101110</v>
      </c>
      <c r="E214" s="8"/>
      <c r="F214" s="74">
        <v>46</v>
      </c>
      <c r="G214" s="8"/>
      <c r="J214" s="8"/>
      <c r="K214" s="8"/>
      <c r="L214" s="75" t="str">
        <f t="shared" si="25"/>
        <v>100110</v>
      </c>
      <c r="M214" s="8"/>
      <c r="N214" s="74">
        <v>38</v>
      </c>
      <c r="O214" s="8"/>
    </row>
    <row r="215" spans="1:15" x14ac:dyDescent="0.35">
      <c r="A215" s="8"/>
      <c r="B215" s="8"/>
      <c r="C215" s="8"/>
      <c r="D215" s="75" t="str">
        <f t="shared" si="23"/>
        <v>101111</v>
      </c>
      <c r="E215" s="8"/>
      <c r="F215" s="74">
        <v>47</v>
      </c>
      <c r="G215" s="8"/>
      <c r="J215" s="8"/>
      <c r="K215" s="8"/>
      <c r="L215" s="75" t="str">
        <f t="shared" si="25"/>
        <v>100111</v>
      </c>
      <c r="M215" s="8"/>
      <c r="N215" s="74">
        <v>39</v>
      </c>
      <c r="O215" s="8"/>
    </row>
    <row r="216" spans="1:15" x14ac:dyDescent="0.35">
      <c r="A216" s="8"/>
      <c r="B216" s="8"/>
      <c r="C216" s="8"/>
      <c r="D216" s="75" t="str">
        <f t="shared" si="23"/>
        <v>110000</v>
      </c>
      <c r="E216" s="8"/>
      <c r="F216" s="74">
        <v>48</v>
      </c>
      <c r="G216" s="8"/>
      <c r="J216" s="8"/>
      <c r="K216" s="8"/>
      <c r="L216" s="75" t="str">
        <f t="shared" si="25"/>
        <v>101000</v>
      </c>
      <c r="M216" s="8"/>
      <c r="N216" s="74">
        <v>40</v>
      </c>
      <c r="O216" s="8"/>
    </row>
    <row r="217" spans="1:15" x14ac:dyDescent="0.35">
      <c r="A217" s="8"/>
      <c r="B217" s="8"/>
      <c r="C217" s="8"/>
      <c r="D217" s="75" t="str">
        <f t="shared" si="23"/>
        <v>110001</v>
      </c>
      <c r="E217" s="8"/>
      <c r="F217" s="74">
        <v>49</v>
      </c>
      <c r="G217" s="8"/>
      <c r="J217" s="8"/>
      <c r="K217" s="8"/>
      <c r="L217" s="75" t="str">
        <f t="shared" si="25"/>
        <v>101001</v>
      </c>
      <c r="M217" s="8"/>
      <c r="N217" s="74">
        <v>41</v>
      </c>
      <c r="O217" s="8"/>
    </row>
    <row r="218" spans="1:15" x14ac:dyDescent="0.35">
      <c r="A218" s="8"/>
      <c r="B218" s="8"/>
      <c r="C218" s="8"/>
      <c r="D218" s="75" t="str">
        <f t="shared" si="23"/>
        <v>110010</v>
      </c>
      <c r="E218" s="8"/>
      <c r="F218" s="74">
        <v>50</v>
      </c>
      <c r="G218" s="8"/>
      <c r="J218" s="8"/>
      <c r="K218" s="8"/>
      <c r="L218" s="75" t="str">
        <f t="shared" si="25"/>
        <v>101010</v>
      </c>
      <c r="M218" s="8"/>
      <c r="N218" s="74">
        <v>42</v>
      </c>
      <c r="O218" s="8"/>
    </row>
    <row r="219" spans="1:15" x14ac:dyDescent="0.35">
      <c r="J219" s="8"/>
      <c r="K219" s="8"/>
      <c r="L219" s="75" t="str">
        <f t="shared" si="25"/>
        <v>101011</v>
      </c>
      <c r="M219" s="8"/>
      <c r="N219" s="74">
        <v>43</v>
      </c>
      <c r="O219" s="8"/>
    </row>
    <row r="220" spans="1:15" x14ac:dyDescent="0.35">
      <c r="J220" s="8"/>
      <c r="K220" s="8"/>
      <c r="L220" s="75" t="str">
        <f t="shared" si="25"/>
        <v>101100</v>
      </c>
      <c r="M220" s="8"/>
      <c r="N220" s="74">
        <v>44</v>
      </c>
      <c r="O220" s="8"/>
    </row>
    <row r="221" spans="1:15" x14ac:dyDescent="0.35">
      <c r="J221" s="8"/>
      <c r="K221" s="8"/>
      <c r="L221" s="75" t="str">
        <f t="shared" si="25"/>
        <v>101101</v>
      </c>
      <c r="M221" s="8"/>
      <c r="N221" s="74">
        <v>45</v>
      </c>
      <c r="O221" s="8"/>
    </row>
    <row r="222" spans="1:15" x14ac:dyDescent="0.35">
      <c r="J222" s="8"/>
      <c r="K222" s="8"/>
      <c r="L222" s="75" t="str">
        <f t="shared" si="25"/>
        <v>101110</v>
      </c>
      <c r="M222" s="8"/>
      <c r="N222" s="74">
        <v>46</v>
      </c>
      <c r="O222" s="8"/>
    </row>
    <row r="223" spans="1:15" x14ac:dyDescent="0.35">
      <c r="J223" s="8"/>
      <c r="K223" s="8"/>
      <c r="L223" s="75" t="str">
        <f t="shared" si="25"/>
        <v>101111</v>
      </c>
      <c r="M223" s="8"/>
      <c r="N223" s="74">
        <v>47</v>
      </c>
      <c r="O223" s="8"/>
    </row>
    <row r="224" spans="1:15" x14ac:dyDescent="0.35">
      <c r="J224" s="8"/>
      <c r="K224" s="8"/>
      <c r="L224" s="75" t="str">
        <f t="shared" si="25"/>
        <v>110000</v>
      </c>
      <c r="M224" s="8"/>
      <c r="N224" s="74">
        <v>48</v>
      </c>
      <c r="O224" s="8"/>
    </row>
    <row r="225" spans="1:15" x14ac:dyDescent="0.35">
      <c r="J225" s="8"/>
      <c r="K225" s="8"/>
      <c r="L225" s="75" t="str">
        <f t="shared" si="25"/>
        <v>110001</v>
      </c>
      <c r="M225" s="8"/>
      <c r="N225" s="74">
        <v>49</v>
      </c>
      <c r="O225" s="8"/>
    </row>
    <row r="226" spans="1:15" x14ac:dyDescent="0.35">
      <c r="J226" s="8"/>
      <c r="K226" s="8"/>
      <c r="L226" s="75" t="str">
        <f t="shared" si="25"/>
        <v>110010</v>
      </c>
      <c r="M226" s="8"/>
      <c r="N226" s="74">
        <v>50</v>
      </c>
      <c r="O226" s="8"/>
    </row>
    <row r="229" spans="1:15" x14ac:dyDescent="0.35">
      <c r="A229" s="103"/>
    </row>
  </sheetData>
  <sheetProtection algorithmName="SHA-512" hashValue="AluSAM9n6RmAEY1eNclFYnHgDPbA/0D7+5t/vPotp4JopzZVuos52u+T/SxVmVQB6W8N1Av13rMeW6GBHT0+9w==" saltValue="SZQdrIdmk3KTz5KbOXL1Ig==" spinCount="100000" sheet="1" selectLockedCells="1"/>
  <mergeCells count="2">
    <mergeCell ref="A1:E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Legal Disclaimer</vt:lpstr>
      <vt:lpstr>Introduction</vt:lpstr>
      <vt:lpstr>Parameters</vt:lpstr>
      <vt:lpstr>DDR4_INIT</vt:lpstr>
      <vt:lpstr>LDDR4_INIT</vt:lpstr>
      <vt:lpstr>Registers_Values</vt:lpstr>
      <vt:lpstr>Registers_Calculation</vt:lpstr>
      <vt:lpstr>LU</vt:lpstr>
      <vt:lpstr>tREFI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G S</dc:creator>
  <cp:lastModifiedBy>Supriya Rajagopal</cp:lastModifiedBy>
  <cp:lastPrinted>2019-04-03T10:47:54Z</cp:lastPrinted>
  <dcterms:created xsi:type="dcterms:W3CDTF">2018-05-03T11:25:48Z</dcterms:created>
  <dcterms:modified xsi:type="dcterms:W3CDTF">2020-04-08T14:05:53Z</dcterms:modified>
</cp:coreProperties>
</file>